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cceew2.sharepoint.com/sites/DCCEEW-DSaD/Shared Documents/Web Pubs/Water quality/"/>
    </mc:Choice>
  </mc:AlternateContent>
  <xr:revisionPtr revIDLastSave="0" documentId="8_{FF6623AC-685B-4AF9-818F-D00AA97E9AD3}" xr6:coauthVersionLast="47" xr6:coauthVersionMax="47" xr10:uidLastSave="{00000000-0000-0000-0000-000000000000}"/>
  <bookViews>
    <workbookView xWindow="840" yWindow="0" windowWidth="21600" windowHeight="15585" xr2:uid="{6B844CDB-DD15-4839-AAA9-12B105EB170B}"/>
  </bookViews>
  <sheets>
    <sheet name="Data for derivation" sheetId="1" r:id="rId1"/>
    <sheet name="Tables" sheetId="4" r:id="rId2"/>
  </sheets>
  <definedNames>
    <definedName name="_xlnm._FilterDatabase" localSheetId="0" hidden="1">'Data for derivation'!$A$6:$AD$106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" i="1" l="1"/>
  <c r="AF7" i="1"/>
  <c r="V7" i="1"/>
  <c r="W7" i="1"/>
  <c r="Y7" i="1"/>
  <c r="Z7" i="1"/>
  <c r="AB7" i="1"/>
  <c r="AC7" i="1"/>
  <c r="AG7" i="1"/>
  <c r="AH7" i="1"/>
  <c r="AL7" i="1"/>
  <c r="AN7" i="1"/>
  <c r="AX7" i="1"/>
  <c r="AY7" i="1"/>
  <c r="AZ7" i="1"/>
  <c r="BA7" i="1"/>
  <c r="BB7" i="1"/>
  <c r="Y9" i="1"/>
  <c r="Z9" i="1"/>
  <c r="AB9" i="1"/>
  <c r="AC9" i="1"/>
  <c r="AF9" i="1"/>
  <c r="AG9" i="1"/>
  <c r="AH9" i="1"/>
  <c r="V10" i="1"/>
  <c r="W10" i="1"/>
  <c r="Y10" i="1"/>
  <c r="Z10" i="1"/>
  <c r="AB10" i="1"/>
  <c r="AC10" i="1"/>
  <c r="AF10" i="1"/>
  <c r="AG10" i="1"/>
  <c r="AH10" i="1"/>
  <c r="AL10" i="1"/>
  <c r="AN10" i="1"/>
  <c r="AX10" i="1"/>
  <c r="AY10" i="1"/>
  <c r="AZ10" i="1"/>
  <c r="BA10" i="1"/>
  <c r="BB10" i="1"/>
  <c r="V11" i="1"/>
  <c r="W11" i="1"/>
  <c r="Y11" i="1"/>
  <c r="Z11" i="1"/>
  <c r="AB11" i="1"/>
  <c r="AC11" i="1"/>
  <c r="AF11" i="1"/>
  <c r="AG11" i="1"/>
  <c r="AH11" i="1"/>
  <c r="V13" i="1"/>
  <c r="W13" i="1"/>
  <c r="Y13" i="1"/>
  <c r="Z13" i="1"/>
  <c r="AB13" i="1"/>
  <c r="AC13" i="1"/>
  <c r="AF13" i="1"/>
  <c r="AG13" i="1"/>
  <c r="AH13" i="1"/>
  <c r="AL13" i="1"/>
  <c r="AN13" i="1"/>
  <c r="AX13" i="1"/>
  <c r="AY13" i="1"/>
  <c r="AZ13" i="1"/>
  <c r="BA13" i="1"/>
  <c r="BB13" i="1"/>
  <c r="W15" i="1"/>
  <c r="Y15" i="1"/>
  <c r="Z15" i="1"/>
  <c r="AB15" i="1"/>
  <c r="AC15" i="1"/>
  <c r="AF15" i="1"/>
  <c r="AG15" i="1"/>
  <c r="AH15" i="1"/>
  <c r="L16" i="1"/>
  <c r="W16" i="1"/>
  <c r="Y16" i="1"/>
  <c r="Z16" i="1"/>
  <c r="AB16" i="1"/>
  <c r="AC16" i="1"/>
  <c r="AF16" i="1"/>
  <c r="AG16" i="1"/>
  <c r="AH16" i="1"/>
  <c r="V18" i="1"/>
  <c r="W18" i="1"/>
  <c r="Y18" i="1"/>
  <c r="Z18" i="1"/>
  <c r="AB18" i="1"/>
  <c r="AC18" i="1"/>
  <c r="AF18" i="1"/>
  <c r="AG18" i="1"/>
  <c r="AH18" i="1"/>
  <c r="AL18" i="1"/>
  <c r="AN18" i="1"/>
  <c r="AX18" i="1"/>
  <c r="AY18" i="1"/>
  <c r="AZ18" i="1"/>
  <c r="BA18" i="1"/>
  <c r="BB18" i="1"/>
  <c r="V20" i="1"/>
  <c r="W20" i="1"/>
  <c r="Y20" i="1"/>
  <c r="Z20" i="1"/>
  <c r="AB20" i="1"/>
  <c r="AC20" i="1"/>
  <c r="AF20" i="1"/>
  <c r="AG20" i="1"/>
  <c r="AH20" i="1"/>
  <c r="AL20" i="1"/>
  <c r="AN20" i="1"/>
  <c r="AX20" i="1"/>
  <c r="AY20" i="1"/>
  <c r="AZ20" i="1"/>
  <c r="BA20" i="1"/>
  <c r="BB20" i="1"/>
  <c r="V21" i="1"/>
  <c r="W21" i="1"/>
  <c r="Y21" i="1"/>
  <c r="Z21" i="1"/>
  <c r="AB21" i="1"/>
  <c r="AC21" i="1"/>
  <c r="AF21" i="1"/>
  <c r="AG21" i="1"/>
  <c r="AH21" i="1"/>
  <c r="AL21" i="1"/>
  <c r="AN21" i="1"/>
  <c r="V23" i="1"/>
  <c r="W23" i="1"/>
  <c r="Y23" i="1"/>
  <c r="Z23" i="1"/>
  <c r="AB23" i="1"/>
  <c r="AC23" i="1"/>
  <c r="AF23" i="1"/>
  <c r="AG23" i="1"/>
  <c r="AH23" i="1"/>
  <c r="AL23" i="1"/>
  <c r="AN23" i="1"/>
  <c r="AX23" i="1"/>
  <c r="AY23" i="1"/>
  <c r="AZ23" i="1"/>
  <c r="BA23" i="1"/>
  <c r="BB23" i="1"/>
  <c r="V24" i="1"/>
  <c r="W24" i="1"/>
  <c r="Y24" i="1"/>
  <c r="Z24" i="1"/>
  <c r="AB24" i="1"/>
  <c r="AC24" i="1"/>
  <c r="AF24" i="1"/>
  <c r="AG24" i="1"/>
  <c r="AH24" i="1"/>
  <c r="AL24" i="1"/>
  <c r="AN24" i="1"/>
  <c r="V26" i="1"/>
  <c r="W26" i="1"/>
  <c r="Y26" i="1"/>
  <c r="Z26" i="1"/>
  <c r="AB26" i="1"/>
  <c r="AC26" i="1"/>
  <c r="AF26" i="1"/>
  <c r="AG26" i="1"/>
  <c r="AH26" i="1"/>
  <c r="AL26" i="1"/>
  <c r="AN26" i="1"/>
  <c r="AX26" i="1"/>
  <c r="AY26" i="1"/>
  <c r="AZ26" i="1"/>
  <c r="BA26" i="1"/>
  <c r="BB26" i="1"/>
  <c r="V27" i="1"/>
  <c r="W27" i="1"/>
  <c r="Y27" i="1"/>
  <c r="Z27" i="1"/>
  <c r="AB27" i="1"/>
  <c r="AC27" i="1"/>
  <c r="AF27" i="1"/>
  <c r="AG27" i="1"/>
  <c r="AH27" i="1"/>
  <c r="V29" i="1"/>
  <c r="W29" i="1"/>
  <c r="Y29" i="1"/>
  <c r="Z29" i="1"/>
  <c r="AB29" i="1"/>
  <c r="AC29" i="1"/>
  <c r="AF29" i="1"/>
  <c r="AG29" i="1"/>
  <c r="AH29" i="1"/>
  <c r="V30" i="1"/>
  <c r="W30" i="1"/>
  <c r="Y30" i="1"/>
  <c r="Z30" i="1"/>
  <c r="AB30" i="1"/>
  <c r="AC30" i="1"/>
  <c r="AF30" i="1"/>
  <c r="AG30" i="1"/>
  <c r="AH30" i="1"/>
  <c r="AL30" i="1"/>
  <c r="AN30" i="1"/>
  <c r="AX30" i="1"/>
  <c r="AY30" i="1"/>
  <c r="AZ30" i="1"/>
  <c r="BA30" i="1"/>
  <c r="BB30" i="1"/>
  <c r="V31" i="1"/>
  <c r="W31" i="1"/>
  <c r="Y31" i="1"/>
  <c r="Z31" i="1"/>
  <c r="AB31" i="1"/>
  <c r="AC31" i="1"/>
  <c r="AF31" i="1"/>
  <c r="AG31" i="1"/>
  <c r="AH31" i="1"/>
  <c r="V32" i="1"/>
  <c r="W32" i="1"/>
  <c r="Y32" i="1"/>
  <c r="Z32" i="1"/>
  <c r="AB32" i="1"/>
  <c r="AC32" i="1"/>
  <c r="AF32" i="1"/>
  <c r="AG32" i="1"/>
  <c r="AH32" i="1"/>
  <c r="V33" i="1"/>
  <c r="W33" i="1"/>
  <c r="Y33" i="1"/>
  <c r="Z33" i="1"/>
  <c r="AB33" i="1"/>
  <c r="AC33" i="1"/>
  <c r="AF33" i="1"/>
  <c r="AG33" i="1"/>
  <c r="AH33" i="1"/>
  <c r="V34" i="1"/>
  <c r="W34" i="1"/>
  <c r="Y34" i="1"/>
  <c r="Z34" i="1"/>
  <c r="AB34" i="1"/>
  <c r="AC34" i="1"/>
  <c r="AF34" i="1"/>
  <c r="AG34" i="1"/>
  <c r="AH34" i="1"/>
  <c r="V36" i="1"/>
  <c r="W36" i="1"/>
  <c r="Y36" i="1"/>
  <c r="Z36" i="1"/>
  <c r="AB36" i="1"/>
  <c r="AC36" i="1"/>
  <c r="AF36" i="1"/>
  <c r="AG36" i="1"/>
  <c r="AH36" i="1"/>
  <c r="AL36" i="1"/>
  <c r="AN36" i="1"/>
  <c r="AX36" i="1"/>
  <c r="AY36" i="1"/>
  <c r="AZ36" i="1"/>
  <c r="BA36" i="1"/>
  <c r="BB36" i="1"/>
  <c r="V37" i="1"/>
  <c r="W37" i="1"/>
  <c r="Y37" i="1"/>
  <c r="Z37" i="1"/>
  <c r="AB37" i="1"/>
  <c r="AC37" i="1"/>
  <c r="AF37" i="1"/>
  <c r="AG37" i="1"/>
  <c r="AH37" i="1"/>
  <c r="AL37" i="1"/>
  <c r="AN37" i="1"/>
  <c r="V39" i="1"/>
  <c r="W39" i="1"/>
  <c r="Y39" i="1"/>
  <c r="Z39" i="1"/>
  <c r="AB39" i="1"/>
  <c r="AC39" i="1"/>
  <c r="AF39" i="1"/>
  <c r="AG39" i="1"/>
  <c r="AH39" i="1"/>
  <c r="AL39" i="1"/>
  <c r="AN39" i="1"/>
  <c r="AX39" i="1"/>
  <c r="AY39" i="1"/>
  <c r="AZ39" i="1"/>
  <c r="BA39" i="1"/>
  <c r="BB39" i="1"/>
  <c r="V40" i="1"/>
  <c r="W40" i="1"/>
  <c r="Y40" i="1"/>
  <c r="Z40" i="1"/>
  <c r="AB40" i="1"/>
  <c r="AC40" i="1"/>
  <c r="AF40" i="1"/>
  <c r="AG40" i="1"/>
  <c r="AH40" i="1"/>
  <c r="AL40" i="1"/>
  <c r="AN40" i="1"/>
  <c r="L42" i="1"/>
  <c r="V42" i="1"/>
  <c r="W42" i="1"/>
  <c r="Y42" i="1"/>
  <c r="Z42" i="1"/>
  <c r="AB42" i="1"/>
  <c r="AC42" i="1"/>
  <c r="AF42" i="1"/>
  <c r="AG42" i="1"/>
  <c r="AH42" i="1"/>
  <c r="L43" i="1"/>
  <c r="V43" i="1"/>
  <c r="W43" i="1"/>
  <c r="Y43" i="1"/>
  <c r="Z43" i="1"/>
  <c r="AB43" i="1"/>
  <c r="AC43" i="1"/>
  <c r="AF43" i="1"/>
  <c r="AG43" i="1"/>
  <c r="AH43" i="1"/>
  <c r="AL43" i="1"/>
  <c r="AN43" i="1"/>
  <c r="AX43" i="1"/>
  <c r="AY43" i="1"/>
  <c r="AZ43" i="1"/>
  <c r="BA43" i="1"/>
  <c r="BB43" i="1"/>
  <c r="V44" i="1"/>
  <c r="W44" i="1"/>
  <c r="Y44" i="1"/>
  <c r="Z44" i="1"/>
  <c r="AB44" i="1"/>
  <c r="AC44" i="1"/>
  <c r="AF44" i="1"/>
  <c r="AG44" i="1"/>
  <c r="AH44" i="1"/>
  <c r="V45" i="1"/>
  <c r="W45" i="1"/>
  <c r="Y45" i="1"/>
  <c r="Z45" i="1"/>
  <c r="AB45" i="1"/>
  <c r="AC45" i="1"/>
  <c r="AF45" i="1"/>
  <c r="AG45" i="1"/>
  <c r="AH45" i="1"/>
  <c r="V47" i="1"/>
  <c r="W47" i="1"/>
  <c r="Y47" i="1"/>
  <c r="Z47" i="1"/>
  <c r="AB47" i="1"/>
  <c r="AC47" i="1"/>
  <c r="AF47" i="1"/>
  <c r="AG47" i="1"/>
  <c r="AH47" i="1"/>
  <c r="AL47" i="1"/>
  <c r="AN47" i="1"/>
  <c r="L49" i="1"/>
  <c r="V49" i="1"/>
  <c r="W49" i="1"/>
  <c r="Y49" i="1"/>
  <c r="Z49" i="1"/>
  <c r="AB49" i="1"/>
  <c r="AC49" i="1"/>
  <c r="AF49" i="1"/>
  <c r="AG49" i="1"/>
  <c r="AH49" i="1"/>
  <c r="AL49" i="1"/>
  <c r="AN49" i="1"/>
  <c r="AX49" i="1"/>
  <c r="AY49" i="1"/>
  <c r="AZ49" i="1"/>
  <c r="BA49" i="1"/>
  <c r="BB49" i="1"/>
  <c r="L50" i="1"/>
  <c r="V50" i="1"/>
  <c r="W50" i="1"/>
  <c r="Y50" i="1"/>
  <c r="Z50" i="1"/>
  <c r="AB50" i="1"/>
  <c r="AC50" i="1"/>
  <c r="AF50" i="1"/>
  <c r="AG50" i="1"/>
  <c r="AH50" i="1"/>
  <c r="V52" i="1"/>
  <c r="W52" i="1"/>
  <c r="Y52" i="1"/>
  <c r="Z52" i="1"/>
  <c r="AB52" i="1"/>
  <c r="AC52" i="1"/>
  <c r="AF52" i="1"/>
  <c r="AG52" i="1"/>
  <c r="AH52" i="1"/>
  <c r="V53" i="1"/>
  <c r="W53" i="1"/>
  <c r="Y53" i="1"/>
  <c r="Z53" i="1"/>
  <c r="AB53" i="1"/>
  <c r="AC53" i="1"/>
  <c r="AF53" i="1"/>
  <c r="AG53" i="1"/>
  <c r="AH53" i="1"/>
  <c r="AL53" i="1"/>
  <c r="AN53" i="1"/>
  <c r="AX53" i="1"/>
  <c r="AY53" i="1"/>
  <c r="AZ53" i="1"/>
  <c r="BA53" i="1"/>
  <c r="BB53" i="1"/>
  <c r="V55" i="1"/>
  <c r="W55" i="1"/>
  <c r="Y55" i="1"/>
  <c r="Z55" i="1"/>
  <c r="AB55" i="1"/>
  <c r="AC55" i="1"/>
  <c r="AF55" i="1"/>
  <c r="AG55" i="1"/>
  <c r="AH55" i="1"/>
  <c r="AL55" i="1"/>
  <c r="AN55" i="1"/>
  <c r="AX55" i="1"/>
  <c r="AY55" i="1"/>
  <c r="AZ55" i="1"/>
  <c r="BA55" i="1"/>
  <c r="BB55" i="1"/>
  <c r="V56" i="1"/>
  <c r="W56" i="1"/>
  <c r="Y56" i="1"/>
  <c r="Z56" i="1"/>
  <c r="AB56" i="1"/>
  <c r="AC56" i="1"/>
  <c r="AF56" i="1"/>
  <c r="AG56" i="1"/>
  <c r="AH56" i="1"/>
  <c r="V57" i="1"/>
  <c r="W57" i="1"/>
  <c r="Y57" i="1"/>
  <c r="Z57" i="1"/>
  <c r="AB57" i="1"/>
  <c r="AC57" i="1"/>
  <c r="AF57" i="1"/>
  <c r="AG57" i="1"/>
  <c r="AH57" i="1"/>
  <c r="AL57" i="1"/>
  <c r="AN57" i="1"/>
  <c r="V58" i="1"/>
  <c r="W58" i="1"/>
  <c r="Y58" i="1"/>
  <c r="Z58" i="1"/>
  <c r="AB58" i="1"/>
  <c r="AC58" i="1"/>
  <c r="AF58" i="1"/>
  <c r="AG58" i="1"/>
  <c r="AH58" i="1"/>
  <c r="AL58" i="1"/>
  <c r="AN58" i="1"/>
  <c r="V60" i="1"/>
  <c r="W60" i="1"/>
  <c r="Y60" i="1"/>
  <c r="Z60" i="1"/>
  <c r="AB60" i="1"/>
  <c r="AC60" i="1"/>
  <c r="AF60" i="1"/>
  <c r="AG60" i="1"/>
  <c r="AH60" i="1"/>
  <c r="AL60" i="1"/>
  <c r="AN60" i="1"/>
  <c r="V62" i="1"/>
  <c r="W62" i="1"/>
  <c r="Y62" i="1"/>
  <c r="Z62" i="1"/>
  <c r="AB62" i="1"/>
  <c r="AC62" i="1"/>
  <c r="AF62" i="1"/>
  <c r="AG62" i="1"/>
  <c r="AH62" i="1"/>
  <c r="AL62" i="1"/>
  <c r="AN62" i="1"/>
  <c r="AX62" i="1"/>
  <c r="AY62" i="1"/>
  <c r="AZ62" i="1"/>
  <c r="BA62" i="1"/>
  <c r="BB62" i="1"/>
  <c r="V64" i="1"/>
  <c r="W64" i="1"/>
  <c r="Y64" i="1"/>
  <c r="Z64" i="1"/>
  <c r="AB64" i="1"/>
  <c r="AC64" i="1"/>
  <c r="AF64" i="1"/>
  <c r="AG64" i="1"/>
  <c r="AH64" i="1"/>
  <c r="AL64" i="1"/>
  <c r="AN64" i="1"/>
  <c r="AX64" i="1"/>
  <c r="AY64" i="1"/>
  <c r="AZ64" i="1"/>
  <c r="BA64" i="1"/>
  <c r="BB64" i="1"/>
  <c r="V66" i="1"/>
  <c r="W66" i="1"/>
  <c r="Y66" i="1"/>
  <c r="Z66" i="1"/>
  <c r="AB66" i="1"/>
  <c r="AC66" i="1"/>
  <c r="AF66" i="1"/>
  <c r="AG66" i="1"/>
  <c r="AH66" i="1"/>
  <c r="AL66" i="1"/>
  <c r="AN66" i="1"/>
  <c r="AX66" i="1"/>
  <c r="AY66" i="1"/>
  <c r="AZ66" i="1"/>
  <c r="BA66" i="1"/>
  <c r="BB66" i="1"/>
  <c r="V68" i="1"/>
  <c r="W68" i="1"/>
  <c r="Y68" i="1"/>
  <c r="Z68" i="1"/>
  <c r="AB68" i="1"/>
  <c r="AC68" i="1"/>
  <c r="AF68" i="1"/>
  <c r="AG68" i="1"/>
  <c r="AH68" i="1"/>
  <c r="AL68" i="1"/>
  <c r="AN68" i="1"/>
  <c r="AX68" i="1"/>
  <c r="AY68" i="1"/>
  <c r="AZ68" i="1"/>
  <c r="BA68" i="1"/>
  <c r="BB68" i="1"/>
  <c r="V70" i="1"/>
  <c r="W70" i="1"/>
  <c r="Y70" i="1"/>
  <c r="Z70" i="1"/>
  <c r="AB70" i="1"/>
  <c r="AC70" i="1"/>
  <c r="AF70" i="1"/>
  <c r="AG70" i="1"/>
  <c r="AH70" i="1"/>
  <c r="AL70" i="1"/>
  <c r="AN70" i="1"/>
  <c r="AX70" i="1"/>
  <c r="AY70" i="1"/>
  <c r="AZ70" i="1"/>
  <c r="BA70" i="1"/>
  <c r="BB70" i="1"/>
  <c r="V71" i="1"/>
  <c r="W71" i="1"/>
  <c r="Y71" i="1"/>
  <c r="Z71" i="1"/>
  <c r="AB71" i="1"/>
  <c r="AC71" i="1"/>
  <c r="AF71" i="1"/>
  <c r="AG71" i="1"/>
  <c r="AH71" i="1"/>
  <c r="V72" i="1"/>
  <c r="W72" i="1"/>
  <c r="Y72" i="1"/>
  <c r="Z72" i="1"/>
  <c r="AB72" i="1"/>
  <c r="AC72" i="1"/>
  <c r="AF72" i="1"/>
  <c r="AG72" i="1"/>
  <c r="AH72" i="1"/>
  <c r="AL72" i="1"/>
  <c r="AN72" i="1"/>
  <c r="V73" i="1"/>
  <c r="W73" i="1"/>
  <c r="Y73" i="1"/>
  <c r="Z73" i="1"/>
  <c r="AB73" i="1"/>
  <c r="AC73" i="1"/>
  <c r="AF73" i="1"/>
  <c r="AG73" i="1"/>
  <c r="AH73" i="1"/>
  <c r="V74" i="1"/>
  <c r="W74" i="1"/>
  <c r="Y74" i="1"/>
  <c r="Z74" i="1"/>
  <c r="AB74" i="1"/>
  <c r="AC74" i="1"/>
  <c r="AF74" i="1"/>
  <c r="AG74" i="1"/>
  <c r="AH74" i="1"/>
  <c r="AL74" i="1"/>
  <c r="AN74" i="1"/>
  <c r="V76" i="1"/>
  <c r="W76" i="1"/>
  <c r="Y76" i="1"/>
  <c r="Z76" i="1"/>
  <c r="AB76" i="1"/>
  <c r="AC76" i="1"/>
  <c r="AF76" i="1"/>
  <c r="AG76" i="1"/>
  <c r="AH76" i="1"/>
  <c r="AL76" i="1"/>
  <c r="AN76" i="1"/>
  <c r="AX76" i="1"/>
  <c r="AY76" i="1"/>
  <c r="AZ76" i="1"/>
  <c r="BA76" i="1"/>
  <c r="BB76" i="1"/>
  <c r="V77" i="1"/>
  <c r="W77" i="1"/>
  <c r="Y77" i="1"/>
  <c r="Z77" i="1"/>
  <c r="AB77" i="1"/>
  <c r="AC77" i="1"/>
  <c r="AF77" i="1"/>
  <c r="AG77" i="1"/>
  <c r="AH77" i="1"/>
  <c r="AL77" i="1"/>
  <c r="AN77" i="1"/>
  <c r="V79" i="1"/>
  <c r="W79" i="1"/>
  <c r="Y79" i="1"/>
  <c r="Z79" i="1"/>
  <c r="AB79" i="1"/>
  <c r="AC79" i="1"/>
  <c r="AF79" i="1"/>
  <c r="AG79" i="1"/>
  <c r="AH79" i="1"/>
  <c r="V80" i="1"/>
  <c r="W80" i="1"/>
  <c r="Y80" i="1"/>
  <c r="Z80" i="1"/>
  <c r="AB80" i="1"/>
  <c r="AC80" i="1"/>
  <c r="AF80" i="1"/>
  <c r="AG80" i="1"/>
  <c r="AH80" i="1"/>
  <c r="AL80" i="1"/>
  <c r="AN80" i="1"/>
  <c r="AX80" i="1"/>
  <c r="AY80" i="1"/>
  <c r="AZ80" i="1"/>
  <c r="BA80" i="1"/>
  <c r="BB80" i="1"/>
  <c r="V81" i="1"/>
  <c r="W81" i="1"/>
  <c r="Y81" i="1"/>
  <c r="Z81" i="1"/>
  <c r="AB81" i="1"/>
  <c r="AC81" i="1"/>
  <c r="AF81" i="1"/>
  <c r="AG81" i="1"/>
  <c r="AH81" i="1"/>
  <c r="V82" i="1"/>
  <c r="W82" i="1"/>
  <c r="Y82" i="1"/>
  <c r="Z82" i="1"/>
  <c r="AB82" i="1"/>
  <c r="AC82" i="1"/>
  <c r="AF82" i="1"/>
  <c r="AG82" i="1"/>
  <c r="AH82" i="1"/>
  <c r="V83" i="1"/>
  <c r="W83" i="1"/>
  <c r="Y83" i="1"/>
  <c r="Z83" i="1"/>
  <c r="AB83" i="1"/>
  <c r="AC83" i="1"/>
  <c r="AF83" i="1"/>
  <c r="AG83" i="1"/>
  <c r="AH83" i="1"/>
  <c r="V85" i="1"/>
  <c r="W85" i="1"/>
  <c r="Y85" i="1"/>
  <c r="Z85" i="1"/>
  <c r="AB85" i="1"/>
  <c r="AC85" i="1"/>
  <c r="AF85" i="1"/>
  <c r="AG85" i="1"/>
  <c r="AH85" i="1"/>
  <c r="AL85" i="1"/>
  <c r="AN85" i="1"/>
  <c r="AX85" i="1"/>
  <c r="AY85" i="1"/>
  <c r="AZ85" i="1"/>
  <c r="BA85" i="1"/>
  <c r="BB85" i="1"/>
  <c r="V87" i="1"/>
  <c r="W87" i="1"/>
  <c r="Y87" i="1"/>
  <c r="Z87" i="1"/>
  <c r="AB87" i="1"/>
  <c r="AC87" i="1"/>
  <c r="AF87" i="1"/>
  <c r="AG87" i="1"/>
  <c r="AH87" i="1"/>
  <c r="AL87" i="1"/>
  <c r="AN87" i="1"/>
  <c r="AX87" i="1"/>
  <c r="AY87" i="1"/>
  <c r="AZ87" i="1"/>
  <c r="BA87" i="1"/>
  <c r="BB87" i="1"/>
  <c r="L89" i="1"/>
  <c r="V89" i="1"/>
  <c r="W89" i="1"/>
  <c r="Y89" i="1"/>
  <c r="Z89" i="1"/>
  <c r="AB89" i="1"/>
  <c r="AC89" i="1"/>
  <c r="AF89" i="1"/>
  <c r="AG89" i="1"/>
  <c r="AH89" i="1"/>
  <c r="V90" i="1"/>
  <c r="W90" i="1"/>
  <c r="Y90" i="1"/>
  <c r="Z90" i="1"/>
  <c r="AB90" i="1"/>
  <c r="AC90" i="1"/>
  <c r="AF90" i="1"/>
  <c r="AG90" i="1"/>
  <c r="AH90" i="1"/>
  <c r="V91" i="1"/>
  <c r="W91" i="1"/>
  <c r="Y91" i="1"/>
  <c r="Z91" i="1"/>
  <c r="AB91" i="1"/>
  <c r="AC91" i="1"/>
  <c r="AF91" i="1"/>
  <c r="AG91" i="1"/>
  <c r="AH91" i="1"/>
  <c r="V92" i="1"/>
  <c r="W92" i="1"/>
  <c r="Y92" i="1"/>
  <c r="Z92" i="1"/>
  <c r="AB92" i="1"/>
  <c r="AC92" i="1"/>
  <c r="AF92" i="1"/>
  <c r="AG92" i="1"/>
  <c r="AH92" i="1"/>
  <c r="AL92" i="1"/>
  <c r="AN92" i="1"/>
  <c r="AX92" i="1"/>
  <c r="AY92" i="1"/>
  <c r="AZ92" i="1"/>
  <c r="BA92" i="1"/>
  <c r="BB92" i="1"/>
  <c r="L94" i="1"/>
  <c r="V94" i="1"/>
  <c r="W94" i="1"/>
  <c r="Y94" i="1"/>
  <c r="Z94" i="1"/>
  <c r="AB94" i="1"/>
  <c r="AC94" i="1"/>
  <c r="AF94" i="1"/>
  <c r="AG94" i="1"/>
  <c r="AH94" i="1"/>
  <c r="V96" i="1"/>
  <c r="W96" i="1"/>
  <c r="Y96" i="1"/>
  <c r="Z96" i="1"/>
  <c r="AB96" i="1"/>
  <c r="AC96" i="1"/>
  <c r="AF96" i="1"/>
  <c r="AG96" i="1"/>
  <c r="AH96" i="1"/>
  <c r="AL96" i="1"/>
  <c r="AN96" i="1"/>
  <c r="AX96" i="1"/>
  <c r="AY96" i="1"/>
  <c r="AZ96" i="1"/>
  <c r="BA96" i="1"/>
  <c r="BB96" i="1"/>
  <c r="L98" i="1"/>
  <c r="V98" i="1"/>
  <c r="W98" i="1"/>
  <c r="Y98" i="1"/>
  <c r="Z98" i="1"/>
  <c r="AB98" i="1"/>
  <c r="AC98" i="1"/>
  <c r="AF98" i="1"/>
  <c r="AG98" i="1"/>
  <c r="AH98" i="1"/>
  <c r="L99" i="1"/>
  <c r="V99" i="1"/>
  <c r="W99" i="1"/>
  <c r="Y99" i="1"/>
  <c r="Z99" i="1"/>
  <c r="AB99" i="1"/>
  <c r="AC99" i="1"/>
  <c r="AF99" i="1"/>
  <c r="AG99" i="1"/>
  <c r="AH99" i="1"/>
  <c r="L100" i="1"/>
  <c r="V100" i="1"/>
  <c r="W100" i="1"/>
  <c r="Y100" i="1"/>
  <c r="Z100" i="1"/>
  <c r="AB100" i="1"/>
  <c r="AC100" i="1"/>
  <c r="AF100" i="1"/>
  <c r="AG100" i="1"/>
  <c r="AH100" i="1"/>
  <c r="V102" i="1"/>
  <c r="W102" i="1"/>
  <c r="Y102" i="1"/>
  <c r="Z102" i="1"/>
  <c r="AB102" i="1"/>
  <c r="AC102" i="1"/>
  <c r="AF102" i="1"/>
  <c r="AG102" i="1"/>
  <c r="AH102" i="1"/>
  <c r="AL102" i="1"/>
  <c r="AN102" i="1"/>
  <c r="AX102" i="1"/>
  <c r="AY102" i="1"/>
  <c r="AZ102" i="1"/>
  <c r="BA102" i="1"/>
  <c r="BB102" i="1"/>
  <c r="V104" i="1"/>
  <c r="W104" i="1"/>
  <c r="Y104" i="1"/>
  <c r="Z104" i="1"/>
  <c r="AB104" i="1"/>
  <c r="AC104" i="1"/>
  <c r="AF104" i="1"/>
  <c r="AG104" i="1"/>
  <c r="AH104" i="1"/>
  <c r="AL104" i="1"/>
  <c r="AN104" i="1"/>
  <c r="AX104" i="1"/>
  <c r="AY104" i="1"/>
  <c r="AZ104" i="1"/>
  <c r="BA104" i="1"/>
  <c r="BB104" i="1"/>
  <c r="V106" i="1"/>
  <c r="W106" i="1"/>
  <c r="Y106" i="1"/>
  <c r="Z106" i="1"/>
  <c r="AB106" i="1"/>
  <c r="AC106" i="1"/>
  <c r="AF106" i="1"/>
  <c r="AG106" i="1"/>
  <c r="AH106" i="1"/>
  <c r="AL106" i="1"/>
  <c r="AN106" i="1"/>
  <c r="AX106" i="1"/>
  <c r="AY106" i="1"/>
  <c r="AZ106" i="1"/>
  <c r="BA106" i="1"/>
  <c r="BB106" i="1"/>
  <c r="AA26" i="1"/>
  <c r="AD26" i="1"/>
  <c r="AQ26" i="1"/>
  <c r="AR26" i="1"/>
  <c r="AS26" i="1"/>
  <c r="AT26" i="1"/>
  <c r="BD26" i="1"/>
  <c r="AJ9" i="1"/>
  <c r="AA13" i="1"/>
  <c r="AD13" i="1"/>
  <c r="AQ13" i="1"/>
  <c r="AR13" i="1"/>
  <c r="AS13" i="1"/>
  <c r="AT13" i="1"/>
  <c r="BD13" i="1"/>
  <c r="AJ43" i="1"/>
  <c r="BC43" i="1"/>
  <c r="AJ13" i="1"/>
  <c r="BC13" i="1"/>
  <c r="AJ37" i="1"/>
  <c r="AA64" i="1"/>
  <c r="AD64" i="1"/>
  <c r="AQ64" i="1"/>
  <c r="AR64" i="1"/>
  <c r="AS64" i="1"/>
  <c r="AT64" i="1"/>
  <c r="BD64" i="1"/>
  <c r="AA66" i="1"/>
  <c r="AA27" i="1"/>
  <c r="AD27" i="1"/>
  <c r="AJ30" i="1"/>
  <c r="BC30" i="1"/>
  <c r="AJ74" i="1"/>
  <c r="AJ49" i="1"/>
  <c r="AJ26" i="1"/>
  <c r="BC26" i="1"/>
  <c r="AJ20" i="1"/>
  <c r="BC20" i="1"/>
  <c r="AJ27" i="1"/>
  <c r="AA42" i="1"/>
  <c r="AD42" i="1"/>
  <c r="AA21" i="1"/>
  <c r="AD21" i="1"/>
  <c r="AQ21" i="1"/>
  <c r="AA30" i="1"/>
  <c r="AD30" i="1"/>
  <c r="AQ30" i="1"/>
  <c r="AR30" i="1"/>
  <c r="AS30" i="1"/>
  <c r="AT30" i="1"/>
  <c r="BD30" i="1"/>
  <c r="AJ31" i="1"/>
  <c r="AJ21" i="1"/>
  <c r="W9" i="1"/>
  <c r="AA9" i="1"/>
  <c r="AD9" i="1"/>
  <c r="AJ82" i="1"/>
  <c r="AJ72" i="1"/>
  <c r="AA70" i="1"/>
  <c r="AJ68" i="1"/>
  <c r="AK68" i="1"/>
  <c r="AA62" i="1"/>
  <c r="AA58" i="1"/>
  <c r="AA87" i="1"/>
  <c r="AD87" i="1"/>
  <c r="AQ87" i="1"/>
  <c r="AR87" i="1"/>
  <c r="AS87" i="1"/>
  <c r="AT87" i="1"/>
  <c r="BD87" i="1"/>
  <c r="AJ64" i="1"/>
  <c r="BC64" i="1"/>
  <c r="AJ55" i="1"/>
  <c r="BC55" i="1"/>
  <c r="AA74" i="1"/>
  <c r="AD74" i="1"/>
  <c r="AQ74" i="1"/>
  <c r="AJ70" i="1"/>
  <c r="BC70" i="1"/>
  <c r="AJ62" i="1"/>
  <c r="BC62" i="1"/>
  <c r="AJ58" i="1"/>
  <c r="AA52" i="1"/>
  <c r="AD52" i="1"/>
  <c r="AA49" i="1"/>
  <c r="AD49" i="1"/>
  <c r="AQ49" i="1"/>
  <c r="AR49" i="1"/>
  <c r="AS49" i="1"/>
  <c r="AT49" i="1"/>
  <c r="BD49" i="1"/>
  <c r="AJ44" i="1"/>
  <c r="AJ42" i="1"/>
  <c r="AA37" i="1"/>
  <c r="AD37" i="1"/>
  <c r="AQ37" i="1"/>
  <c r="AR37" i="1"/>
  <c r="AJ36" i="1"/>
  <c r="AK37" i="1"/>
  <c r="AJ33" i="1"/>
  <c r="AA31" i="1"/>
  <c r="AD31" i="1"/>
  <c r="AJ92" i="1"/>
  <c r="BC92" i="1"/>
  <c r="AA44" i="1"/>
  <c r="AD44" i="1"/>
  <c r="AJ40" i="1"/>
  <c r="AA92" i="1"/>
  <c r="AD92" i="1"/>
  <c r="AQ92" i="1"/>
  <c r="AR92" i="1"/>
  <c r="AS92" i="1"/>
  <c r="AT92" i="1"/>
  <c r="BD92" i="1"/>
  <c r="AJ79" i="1"/>
  <c r="AD70" i="1"/>
  <c r="AQ70" i="1"/>
  <c r="AD62" i="1"/>
  <c r="AQ62" i="1"/>
  <c r="AR62" i="1"/>
  <c r="AS62" i="1"/>
  <c r="AT62" i="1"/>
  <c r="BD62" i="1"/>
  <c r="AD58" i="1"/>
  <c r="AQ58" i="1"/>
  <c r="AJ56" i="1"/>
  <c r="AJ52" i="1"/>
  <c r="AA43" i="1"/>
  <c r="AD43" i="1"/>
  <c r="AQ43" i="1"/>
  <c r="AR43" i="1"/>
  <c r="AS43" i="1"/>
  <c r="AT43" i="1"/>
  <c r="BD43" i="1"/>
  <c r="AA20" i="1"/>
  <c r="AD20" i="1"/>
  <c r="AQ20" i="1"/>
  <c r="AR20" i="1"/>
  <c r="AS20" i="1"/>
  <c r="AT20" i="1"/>
  <c r="BD20" i="1"/>
  <c r="AA72" i="1"/>
  <c r="AD72" i="1"/>
  <c r="AQ72" i="1"/>
  <c r="AR72" i="1"/>
  <c r="AD66" i="1"/>
  <c r="AQ66" i="1"/>
  <c r="AR66" i="1"/>
  <c r="AS66" i="1"/>
  <c r="AT66" i="1"/>
  <c r="BD66" i="1"/>
  <c r="AA68" i="1"/>
  <c r="AD68" i="1"/>
  <c r="AQ68" i="1"/>
  <c r="AR68" i="1"/>
  <c r="AS68" i="1"/>
  <c r="AT68" i="1"/>
  <c r="BD68" i="1"/>
  <c r="AJ83" i="1"/>
  <c r="AK26" i="1"/>
  <c r="AA100" i="1"/>
  <c r="AD100" i="1"/>
  <c r="BC68" i="1"/>
  <c r="AK13" i="1"/>
  <c r="AA82" i="1"/>
  <c r="AD82" i="1"/>
  <c r="AJ99" i="1"/>
  <c r="AJ66" i="1"/>
  <c r="AA76" i="1"/>
  <c r="AD76" i="1"/>
  <c r="AQ76" i="1"/>
  <c r="AA104" i="1"/>
  <c r="AD104" i="1"/>
  <c r="AQ104" i="1"/>
  <c r="AR104" i="1"/>
  <c r="AS104" i="1"/>
  <c r="AT104" i="1"/>
  <c r="BD104" i="1"/>
  <c r="AJ102" i="1"/>
  <c r="BC102" i="1"/>
  <c r="AJ76" i="1"/>
  <c r="BC76" i="1"/>
  <c r="AA53" i="1"/>
  <c r="AD53" i="1"/>
  <c r="AQ53" i="1"/>
  <c r="AR53" i="1"/>
  <c r="AS53" i="1"/>
  <c r="AT53" i="1"/>
  <c r="BD53" i="1"/>
  <c r="AA90" i="1"/>
  <c r="AD90" i="1"/>
  <c r="AA79" i="1"/>
  <c r="AD79" i="1"/>
  <c r="AJ53" i="1"/>
  <c r="AA33" i="1"/>
  <c r="AD33" i="1"/>
  <c r="AA106" i="1"/>
  <c r="AD106" i="1"/>
  <c r="AQ106" i="1"/>
  <c r="AR106" i="1"/>
  <c r="AS106" i="1"/>
  <c r="AT106" i="1"/>
  <c r="BD106" i="1"/>
  <c r="AA99" i="1"/>
  <c r="AD99" i="1"/>
  <c r="AJ96" i="1"/>
  <c r="AK96" i="1"/>
  <c r="AA81" i="1"/>
  <c r="AD81" i="1"/>
  <c r="AA50" i="1"/>
  <c r="AD50" i="1"/>
  <c r="AA39" i="1"/>
  <c r="AD39" i="1"/>
  <c r="AQ39" i="1"/>
  <c r="AA23" i="1"/>
  <c r="AD23" i="1"/>
  <c r="AQ23" i="1"/>
  <c r="AR23" i="1"/>
  <c r="AS23" i="1"/>
  <c r="AT23" i="1"/>
  <c r="BD23" i="1"/>
  <c r="AJ7" i="1"/>
  <c r="AK7" i="1"/>
  <c r="AA102" i="1"/>
  <c r="AD102" i="1"/>
  <c r="AQ102" i="1"/>
  <c r="AR102" i="1"/>
  <c r="AS102" i="1"/>
  <c r="AT102" i="1"/>
  <c r="BD102" i="1"/>
  <c r="AA94" i="1"/>
  <c r="AD94" i="1"/>
  <c r="AJ87" i="1"/>
  <c r="AK87" i="1"/>
  <c r="AJ81" i="1"/>
  <c r="AJ71" i="1"/>
  <c r="AA55" i="1"/>
  <c r="AD55" i="1"/>
  <c r="AQ55" i="1"/>
  <c r="AJ50" i="1"/>
  <c r="AK49" i="1"/>
  <c r="AJ39" i="1"/>
  <c r="AJ23" i="1"/>
  <c r="AA96" i="1"/>
  <c r="AD96" i="1"/>
  <c r="AQ96" i="1"/>
  <c r="AR96" i="1"/>
  <c r="AS96" i="1"/>
  <c r="AT96" i="1"/>
  <c r="BD96" i="1"/>
  <c r="AJ94" i="1"/>
  <c r="AK94" i="1"/>
  <c r="AA91" i="1"/>
  <c r="AD91" i="1"/>
  <c r="AA83" i="1"/>
  <c r="AD83" i="1"/>
  <c r="AA80" i="1"/>
  <c r="AD80" i="1"/>
  <c r="AQ80" i="1"/>
  <c r="AR80" i="1"/>
  <c r="AS80" i="1"/>
  <c r="AT80" i="1"/>
  <c r="BD80" i="1"/>
  <c r="AA57" i="1"/>
  <c r="AD57" i="1"/>
  <c r="AQ57" i="1"/>
  <c r="AA45" i="1"/>
  <c r="AD45" i="1"/>
  <c r="AA40" i="1"/>
  <c r="AD40" i="1"/>
  <c r="AQ40" i="1"/>
  <c r="AA24" i="1"/>
  <c r="AD24" i="1"/>
  <c r="AQ24" i="1"/>
  <c r="AK21" i="1"/>
  <c r="AJ91" i="1"/>
  <c r="AJ80" i="1"/>
  <c r="AJ57" i="1"/>
  <c r="AJ45" i="1"/>
  <c r="AJ24" i="1"/>
  <c r="AA29" i="1"/>
  <c r="AD29" i="1"/>
  <c r="AJ29" i="1"/>
  <c r="AA73" i="1"/>
  <c r="AD73" i="1"/>
  <c r="AJ73" i="1"/>
  <c r="AA32" i="1"/>
  <c r="AD32" i="1"/>
  <c r="AJ32" i="1"/>
  <c r="AA10" i="1"/>
  <c r="AD10" i="1"/>
  <c r="AQ10" i="1"/>
  <c r="AR10" i="1"/>
  <c r="AS10" i="1"/>
  <c r="AT10" i="1"/>
  <c r="BD10" i="1"/>
  <c r="AJ10" i="1"/>
  <c r="BC10" i="1"/>
  <c r="AJ98" i="1"/>
  <c r="AA98" i="1"/>
  <c r="AD98" i="1"/>
  <c r="AJ89" i="1"/>
  <c r="AA89" i="1"/>
  <c r="AD89" i="1"/>
  <c r="AJ15" i="1"/>
  <c r="AA15" i="1"/>
  <c r="AD15" i="1"/>
  <c r="AA11" i="1"/>
  <c r="AD11" i="1"/>
  <c r="AJ11" i="1"/>
  <c r="AJ60" i="1"/>
  <c r="AK60" i="1"/>
  <c r="AA60" i="1"/>
  <c r="AD60" i="1"/>
  <c r="AQ60" i="1"/>
  <c r="AR60" i="1"/>
  <c r="AS60" i="1"/>
  <c r="AT60" i="1"/>
  <c r="AA34" i="1"/>
  <c r="AD34" i="1"/>
  <c r="AJ34" i="1"/>
  <c r="AA18" i="1"/>
  <c r="AD18" i="1"/>
  <c r="AQ18" i="1"/>
  <c r="AR18" i="1"/>
  <c r="AS18" i="1"/>
  <c r="AT18" i="1"/>
  <c r="BD18" i="1"/>
  <c r="AJ18" i="1"/>
  <c r="BC18" i="1"/>
  <c r="AA71" i="1"/>
  <c r="AD71" i="1"/>
  <c r="AJ47" i="1"/>
  <c r="AK47" i="1"/>
  <c r="AA36" i="1"/>
  <c r="AD36" i="1"/>
  <c r="AQ36" i="1"/>
  <c r="AR36" i="1"/>
  <c r="AA7" i="1"/>
  <c r="AD7" i="1"/>
  <c r="AQ7" i="1"/>
  <c r="AR7" i="1"/>
  <c r="AS7" i="1"/>
  <c r="AT7" i="1"/>
  <c r="BD7" i="1"/>
  <c r="AK20" i="1"/>
  <c r="AK27" i="1"/>
  <c r="AJ77" i="1"/>
  <c r="AJ85" i="1"/>
  <c r="BC49" i="1"/>
  <c r="AJ100" i="1"/>
  <c r="AJ106" i="1"/>
  <c r="AJ90" i="1"/>
  <c r="AA85" i="1"/>
  <c r="AD85" i="1"/>
  <c r="AQ85" i="1"/>
  <c r="AR85" i="1"/>
  <c r="AS85" i="1"/>
  <c r="AT85" i="1"/>
  <c r="BD85" i="1"/>
  <c r="AA77" i="1"/>
  <c r="AD77" i="1"/>
  <c r="AQ77" i="1"/>
  <c r="AA56" i="1"/>
  <c r="AD56" i="1"/>
  <c r="AA47" i="1"/>
  <c r="AD47" i="1"/>
  <c r="AQ47" i="1"/>
  <c r="AR47" i="1"/>
  <c r="AS47" i="1"/>
  <c r="AT47" i="1"/>
  <c r="AA16" i="1"/>
  <c r="AD16" i="1"/>
  <c r="AJ16" i="1"/>
  <c r="AJ104" i="1"/>
  <c r="AK64" i="1"/>
  <c r="BC36" i="1"/>
  <c r="AK62" i="1"/>
  <c r="AR70" i="1"/>
  <c r="AS70" i="1"/>
  <c r="AT70" i="1"/>
  <c r="BD70" i="1"/>
  <c r="AS36" i="1"/>
  <c r="AT36" i="1"/>
  <c r="BD36" i="1"/>
  <c r="AK36" i="1"/>
  <c r="AK44" i="1"/>
  <c r="AK102" i="1"/>
  <c r="AK56" i="1"/>
  <c r="BC87" i="1"/>
  <c r="AK39" i="1"/>
  <c r="AK53" i="1"/>
  <c r="AK16" i="1"/>
  <c r="AK55" i="1"/>
  <c r="AK50" i="1"/>
  <c r="AK11" i="1"/>
  <c r="BC53" i="1"/>
  <c r="AK81" i="1"/>
  <c r="AR39" i="1"/>
  <c r="AS39" i="1"/>
  <c r="AT39" i="1"/>
  <c r="BD39" i="1"/>
  <c r="AK58" i="1"/>
  <c r="AK24" i="1"/>
  <c r="AK72" i="1"/>
  <c r="AK57" i="1"/>
  <c r="AK40" i="1"/>
  <c r="BC39" i="1"/>
  <c r="AK52" i="1"/>
  <c r="AK71" i="1"/>
  <c r="AK83" i="1"/>
  <c r="AK33" i="1"/>
  <c r="AK43" i="1"/>
  <c r="AK42" i="1"/>
  <c r="BC66" i="1"/>
  <c r="AK66" i="1"/>
  <c r="AK18" i="1"/>
  <c r="AK80" i="1"/>
  <c r="AK23" i="1"/>
  <c r="AK70" i="1"/>
  <c r="BC96" i="1"/>
  <c r="AR76" i="1"/>
  <c r="AS76" i="1"/>
  <c r="AT76" i="1"/>
  <c r="BD76" i="1"/>
  <c r="AK79" i="1"/>
  <c r="AK76" i="1"/>
  <c r="AK32" i="1"/>
  <c r="AK77" i="1"/>
  <c r="AK45" i="1"/>
  <c r="AK82" i="1"/>
  <c r="AR55" i="1"/>
  <c r="AS55" i="1"/>
  <c r="AT55" i="1"/>
  <c r="BD55" i="1"/>
  <c r="BC23" i="1"/>
  <c r="AK73" i="1"/>
  <c r="BC7" i="1"/>
  <c r="AK10" i="1"/>
  <c r="AK34" i="1"/>
  <c r="BC80" i="1"/>
  <c r="AK9" i="1"/>
  <c r="AK15" i="1"/>
  <c r="AK29" i="1"/>
  <c r="AK30" i="1"/>
  <c r="AK31" i="1"/>
  <c r="BC85" i="1"/>
  <c r="AK85" i="1"/>
  <c r="AK74" i="1"/>
  <c r="AK100" i="1"/>
  <c r="AK98" i="1"/>
  <c r="BC106" i="1"/>
  <c r="AK106" i="1"/>
  <c r="AK99" i="1"/>
  <c r="AK104" i="1"/>
  <c r="BC104" i="1"/>
  <c r="AK92" i="1"/>
  <c r="AK90" i="1"/>
  <c r="AK91" i="1"/>
  <c r="AK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Reviewer</author>
  </authors>
  <commentList>
    <comment ref="K4" authorId="0" shapeId="0" xr:uid="{6E035B8D-37A7-4E8A-A571-68BC7597A6AB}">
      <text>
        <r>
          <rPr>
            <b/>
            <sz val="9"/>
            <color indexed="8"/>
            <rFont val="Tahoma"/>
            <family val="2"/>
          </rPr>
          <t>Reviewer: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 xml:space="preserve">Preference is to use data from group 1 - 4 in ascending order. </t>
        </r>
      </text>
    </comment>
  </commentList>
</comments>
</file>

<file path=xl/sharedStrings.xml><?xml version="1.0" encoding="utf-8"?>
<sst xmlns="http://schemas.openxmlformats.org/spreadsheetml/2006/main" count="1636" uniqueCount="252">
  <si>
    <t>Data Source ID</t>
  </si>
  <si>
    <t xml:space="preserve">Media Type </t>
  </si>
  <si>
    <t>Species Scientific Name</t>
  </si>
  <si>
    <t>Phylum</t>
  </si>
  <si>
    <t>Toxicity Value</t>
  </si>
  <si>
    <t>Endpoint</t>
  </si>
  <si>
    <t>Acute/ Chronic</t>
  </si>
  <si>
    <t>Type of Organism (fish/amphibians/macroinvertebrates/microinvertebrates/macrophytes/macroalgae/microalgae)</t>
  </si>
  <si>
    <t>Hetero/ Phototroph</t>
  </si>
  <si>
    <t xml:space="preserve">Exposure Duration  </t>
  </si>
  <si>
    <t>Exposure Duration Units</t>
  </si>
  <si>
    <t>Life Stage</t>
  </si>
  <si>
    <t>Start</t>
  </si>
  <si>
    <t>Conversion</t>
  </si>
  <si>
    <t>End</t>
  </si>
  <si>
    <t>EC50</t>
  </si>
  <si>
    <t>Chronic</t>
  </si>
  <si>
    <t>Microalgae</t>
  </si>
  <si>
    <t>Phototroph</t>
  </si>
  <si>
    <t>NOEC/EC10</t>
  </si>
  <si>
    <t>LC50</t>
  </si>
  <si>
    <t>NOEC</t>
  </si>
  <si>
    <t>LOEC</t>
  </si>
  <si>
    <t>Start (acute)</t>
  </si>
  <si>
    <t>End (chronic)</t>
  </si>
  <si>
    <t>EC10</t>
  </si>
  <si>
    <t>Endpoint Measurement</t>
  </si>
  <si>
    <t>CONCENTRATION</t>
  </si>
  <si>
    <t>TEST CRITERIA</t>
  </si>
  <si>
    <t>ORGANISM CHARACTERISTICS</t>
  </si>
  <si>
    <t>ACR Conversion Factor</t>
  </si>
  <si>
    <t>Toxicity Value Conversion factor</t>
  </si>
  <si>
    <t>NEC/EC10/NOEC Concentration (ug/L)</t>
  </si>
  <si>
    <t>Chronic NEC/EC10/NOEC Concentration (ug/L)</t>
  </si>
  <si>
    <t>Species 1</t>
  </si>
  <si>
    <t>Toxicity Value Conversion</t>
  </si>
  <si>
    <t>DATA ID</t>
  </si>
  <si>
    <t>Record ID</t>
  </si>
  <si>
    <t>Group same duration for each Endpoint</t>
  </si>
  <si>
    <t>Group the same Endpoint</t>
  </si>
  <si>
    <t>3. LOWEST VALUE FOR SPECIES. (ug/L)</t>
  </si>
  <si>
    <t>1. Toxicity Value</t>
  </si>
  <si>
    <t>2. Acute/Chronic</t>
  </si>
  <si>
    <t>3. Endpoint Measurement</t>
  </si>
  <si>
    <t>4. Duration</t>
  </si>
  <si>
    <t>DERIVE ONE VALUE FOR EACH SPECIES</t>
  </si>
  <si>
    <t>Conversion Factor</t>
  </si>
  <si>
    <t>NEC</t>
  </si>
  <si>
    <t>Acute</t>
  </si>
  <si>
    <t>EC10 Acute to Chronic Ratio (ACR)</t>
  </si>
  <si>
    <t>Chemical:</t>
  </si>
  <si>
    <t>Mortality</t>
  </si>
  <si>
    <t>LC10</t>
  </si>
  <si>
    <t>IC10</t>
  </si>
  <si>
    <t>IC50</t>
  </si>
  <si>
    <t>Class</t>
  </si>
  <si>
    <t>Heterotroph</t>
  </si>
  <si>
    <t>Endpoint (Directly from Paper)</t>
  </si>
  <si>
    <t>Concentration Stated in Paper</t>
  </si>
  <si>
    <t>Units</t>
  </si>
  <si>
    <t>Concentration Converted to ug/L</t>
  </si>
  <si>
    <t>mg/L</t>
  </si>
  <si>
    <t>ug/L</t>
  </si>
  <si>
    <t>Toxicity Value (repeat from Column O)</t>
  </si>
  <si>
    <t>Acute/Chronic (repeat from Column R)</t>
  </si>
  <si>
    <t>NOAEC</t>
  </si>
  <si>
    <t>LOAEC</t>
  </si>
  <si>
    <r>
      <t>Toxicity Value</t>
    </r>
    <r>
      <rPr>
        <sz val="10"/>
        <rFont val="Calibri"/>
        <family val="2"/>
      </rPr>
      <t xml:space="preserve"> (repeat from Column O)</t>
    </r>
  </si>
  <si>
    <r>
      <t xml:space="preserve">Acute/Chronic </t>
    </r>
    <r>
      <rPr>
        <sz val="10"/>
        <rFont val="Calibri"/>
        <family val="2"/>
      </rPr>
      <t>(repeat from Column R)</t>
    </r>
  </si>
  <si>
    <t>Chronic LOEC</t>
  </si>
  <si>
    <t>Chronic EC/LC50</t>
  </si>
  <si>
    <t>Acute NOEC/EC10</t>
  </si>
  <si>
    <t>Acute LOEC</t>
  </si>
  <si>
    <t>Acute EC/LC50</t>
  </si>
  <si>
    <t>Selection Groupings</t>
  </si>
  <si>
    <t>Preferential Selection Groupings (see Table 2)</t>
  </si>
  <si>
    <t>Table 1: TABLE OF CONVERSION FACTORS (Warne et al 2014)</t>
  </si>
  <si>
    <t>Table 2: Preferential Selection Groupings</t>
  </si>
  <si>
    <t>Accept highest preference group per species.</t>
  </si>
  <si>
    <t>Final Results</t>
  </si>
  <si>
    <t>Freshwater</t>
  </si>
  <si>
    <t>Chlorophyta</t>
  </si>
  <si>
    <t>Trebouxiophyceae</t>
  </si>
  <si>
    <t>Tracheophyta</t>
  </si>
  <si>
    <t>Liliopsida</t>
  </si>
  <si>
    <t>Macrophyte</t>
  </si>
  <si>
    <t>Lemna gibba</t>
  </si>
  <si>
    <t>PPB</t>
  </si>
  <si>
    <t>Arthropoda</t>
  </si>
  <si>
    <t>Hour</t>
  </si>
  <si>
    <t>PPM</t>
  </si>
  <si>
    <t>Conversion Table</t>
  </si>
  <si>
    <t>From</t>
  </si>
  <si>
    <t>To</t>
  </si>
  <si>
    <t>Factor</t>
  </si>
  <si>
    <t>uglL</t>
  </si>
  <si>
    <r>
      <t>CONCENTRATION CONVERSIONS (</t>
    </r>
    <r>
      <rPr>
        <b/>
        <i/>
        <sz val="11"/>
        <color indexed="9"/>
        <rFont val="Calibri"/>
        <family val="2"/>
      </rPr>
      <t>see Table 1 far right</t>
    </r>
    <r>
      <rPr>
        <b/>
        <sz val="11"/>
        <color indexed="9"/>
        <rFont val="Calibri"/>
        <family val="2"/>
      </rPr>
      <t>)</t>
    </r>
  </si>
  <si>
    <t>Conversion Factor (to ug/L)</t>
  </si>
  <si>
    <r>
      <t xml:space="preserve">Endpoint Measurement </t>
    </r>
    <r>
      <rPr>
        <sz val="10"/>
        <color indexed="8"/>
        <rFont val="Calibri"/>
        <family val="2"/>
      </rPr>
      <t>(repeat from Column N)</t>
    </r>
  </si>
  <si>
    <r>
      <t xml:space="preserve">DURATION (d) </t>
    </r>
    <r>
      <rPr>
        <sz val="10"/>
        <color indexed="8"/>
        <rFont val="Calibri"/>
        <family val="2"/>
      </rPr>
      <t>(repeat from Column P)</t>
    </r>
  </si>
  <si>
    <t>Organism Type</t>
  </si>
  <si>
    <t>Americamysis bahia</t>
  </si>
  <si>
    <t>Malacostraca</t>
  </si>
  <si>
    <t>Macroinvertebrate</t>
  </si>
  <si>
    <t>&lt;24 hr</t>
  </si>
  <si>
    <t>a</t>
  </si>
  <si>
    <t>a-i</t>
  </si>
  <si>
    <t/>
  </si>
  <si>
    <t>Summed Conversion Factors (EC10 conversion Factor + ACR)</t>
  </si>
  <si>
    <t>NOEL</t>
  </si>
  <si>
    <t>Chronic NOEC/EC10/NOEL</t>
  </si>
  <si>
    <t>Seriatopora hystrix</t>
  </si>
  <si>
    <t>Marine</t>
  </si>
  <si>
    <t>Isochrysis galbana</t>
  </si>
  <si>
    <t>Haptophyta</t>
  </si>
  <si>
    <t>Chlorella pyrenoidosa</t>
  </si>
  <si>
    <t>Dunaliella tertiolecta</t>
  </si>
  <si>
    <t>Lemna aequinoctialis</t>
  </si>
  <si>
    <t>Pseudokirchneriella subcapitata</t>
  </si>
  <si>
    <t>Scenedesmus obliquus</t>
  </si>
  <si>
    <t>Scenedesmus quadricauda</t>
  </si>
  <si>
    <t>Chlamydomonas moewusii</t>
  </si>
  <si>
    <t>uM</t>
  </si>
  <si>
    <t>2083549</t>
  </si>
  <si>
    <t>2083550</t>
  </si>
  <si>
    <t>2009638</t>
  </si>
  <si>
    <t>Pimephales promelas</t>
  </si>
  <si>
    <t>Juv</t>
  </si>
  <si>
    <t>2006652</t>
  </si>
  <si>
    <t>Cyprinodon variegatus</t>
  </si>
  <si>
    <t>2006643</t>
  </si>
  <si>
    <t>Lepomis macrochirus</t>
  </si>
  <si>
    <t>2006644</t>
  </si>
  <si>
    <t>Oncorhynchus mykiss</t>
  </si>
  <si>
    <t>&lt;</t>
  </si>
  <si>
    <t>2009637</t>
  </si>
  <si>
    <t>Carassius auratus</t>
  </si>
  <si>
    <t>&gt;</t>
  </si>
  <si>
    <t>2049116</t>
  </si>
  <si>
    <t>Chlorella sp.</t>
  </si>
  <si>
    <t>Phaeodactylum tricornutum</t>
  </si>
  <si>
    <t>Chlorococcum sp.</t>
  </si>
  <si>
    <t>Leiostomus xanthurus</t>
  </si>
  <si>
    <t>2009635</t>
  </si>
  <si>
    <t>2049421</t>
  </si>
  <si>
    <t>Monochrysis lutheri</t>
  </si>
  <si>
    <t>Thalassiosira guillardii</t>
  </si>
  <si>
    <t>Thalassiosira fluviatilis</t>
  </si>
  <si>
    <t>Achnanthes brevipes</t>
  </si>
  <si>
    <t>Navicula incerta</t>
  </si>
  <si>
    <t>Stauroneis amphoroides</t>
  </si>
  <si>
    <t>2006651</t>
  </si>
  <si>
    <t>Nitzschia closterium</t>
  </si>
  <si>
    <t>2009636</t>
  </si>
  <si>
    <t>Neochloris sp.</t>
  </si>
  <si>
    <t>Platymonas sp.</t>
  </si>
  <si>
    <t>Porphyridium cruentum</t>
  </si>
  <si>
    <t>2006649</t>
  </si>
  <si>
    <t>Selenastrum capricornutum</t>
  </si>
  <si>
    <t>2006645</t>
  </si>
  <si>
    <t>Daphnia magna</t>
  </si>
  <si>
    <t>&lt; 24hr</t>
  </si>
  <si>
    <t>Mollusca</t>
  </si>
  <si>
    <t>Mercenaria mercenaria</t>
  </si>
  <si>
    <t>EmbLrv</t>
  </si>
  <si>
    <t>EC25</t>
  </si>
  <si>
    <t>2006653</t>
  </si>
  <si>
    <t>LifCyc</t>
  </si>
  <si>
    <t>ErlyLf</t>
  </si>
  <si>
    <t>2006654</t>
  </si>
  <si>
    <t>2006658</t>
  </si>
  <si>
    <t>2006657</t>
  </si>
  <si>
    <t>617-1</t>
  </si>
  <si>
    <t>Raphidocelis subcapitata</t>
  </si>
  <si>
    <t>Not stated</t>
  </si>
  <si>
    <t>Growth: Cell count</t>
  </si>
  <si>
    <t>617</t>
  </si>
  <si>
    <t>834-1</t>
  </si>
  <si>
    <t>Growth: Cell Number</t>
  </si>
  <si>
    <t>834</t>
  </si>
  <si>
    <t>Chlorophyceae</t>
  </si>
  <si>
    <t>Immobilisation</t>
  </si>
  <si>
    <t>Branchiopoda</t>
  </si>
  <si>
    <t>Coccolithophyceae</t>
  </si>
  <si>
    <t>Day</t>
  </si>
  <si>
    <t>Bacillariophyta</t>
  </si>
  <si>
    <t>Bacillariophyceae</t>
  </si>
  <si>
    <t>Chordata</t>
  </si>
  <si>
    <t>Actinopterygii</t>
  </si>
  <si>
    <t>Bivalvia</t>
  </si>
  <si>
    <t>Ochrophyta</t>
  </si>
  <si>
    <t>Chrysophyceae</t>
  </si>
  <si>
    <t>Bacillariophyta incertae sedis</t>
  </si>
  <si>
    <t>Rhodophyta</t>
  </si>
  <si>
    <t>Porphyridiophyceae</t>
  </si>
  <si>
    <t>Mediophyceae</t>
  </si>
  <si>
    <t>Growth</t>
  </si>
  <si>
    <t>Cell count</t>
  </si>
  <si>
    <t>Macroalgae</t>
  </si>
  <si>
    <t>Fish</t>
  </si>
  <si>
    <t>Cnidaria</t>
  </si>
  <si>
    <t>Anthozoa</t>
  </si>
  <si>
    <t>Population</t>
  </si>
  <si>
    <t>Physiology</t>
  </si>
  <si>
    <t>Abundance</t>
  </si>
  <si>
    <t>Biomass yield, growth rate, area under the growth curve</t>
  </si>
  <si>
    <t>Biomass yield</t>
  </si>
  <si>
    <t>Total frond number, growth rate (number of fronds per day), mortality (percentage of dead fronds to total number of fronds)</t>
  </si>
  <si>
    <t>Growth, growth rate, mortality</t>
  </si>
  <si>
    <t>Total frond number, growth rate, mortality</t>
  </si>
  <si>
    <t>Mortality: Immobility</t>
  </si>
  <si>
    <t>EC20</t>
  </si>
  <si>
    <t>c</t>
  </si>
  <si>
    <t>a-ii</t>
  </si>
  <si>
    <r>
      <t xml:space="preserve">1. GEOMETRIC MEAN FOR EACH COMBINATION OF ENDPOINT AND DURATION </t>
    </r>
    <r>
      <rPr>
        <sz val="10"/>
        <color indexed="8"/>
        <rFont val="Calibri"/>
        <family val="2"/>
      </rPr>
      <t xml:space="preserve">(Groupings in Column AM) </t>
    </r>
    <r>
      <rPr>
        <b/>
        <sz val="10"/>
        <color indexed="8"/>
        <rFont val="Calibri"/>
        <family val="2"/>
      </rPr>
      <t>(ug/L)</t>
    </r>
  </si>
  <si>
    <r>
      <t xml:space="preserve">2. LOWEST VALUE FOR EACH ENDPOINT </t>
    </r>
    <r>
      <rPr>
        <sz val="10"/>
        <color indexed="8"/>
        <rFont val="Calibri"/>
        <family val="2"/>
      </rPr>
      <t xml:space="preserve">(Groupings in Column AO) </t>
    </r>
    <r>
      <rPr>
        <b/>
        <sz val="10"/>
        <color indexed="8"/>
        <rFont val="Calibri"/>
        <family val="2"/>
      </rPr>
      <t>(ug/L)</t>
    </r>
  </si>
  <si>
    <t>975-1</t>
  </si>
  <si>
    <t>975-2</t>
  </si>
  <si>
    <t>Microinvertebrate</t>
  </si>
  <si>
    <t>Growth/Growth Rate</t>
  </si>
  <si>
    <t>Population (Abundance spectro)</t>
  </si>
  <si>
    <t>Growth Inhibition (Cell counts and absorbance)</t>
  </si>
  <si>
    <t>Coral</t>
  </si>
  <si>
    <t>992-1</t>
  </si>
  <si>
    <t>Daphnia similis</t>
  </si>
  <si>
    <t>992</t>
  </si>
  <si>
    <t>992-2</t>
  </si>
  <si>
    <t>Neonates</t>
  </si>
  <si>
    <t>Do Not Use</t>
  </si>
  <si>
    <t>LOEL</t>
  </si>
  <si>
    <t>Fluoresence</t>
  </si>
  <si>
    <t>Chronic EC10</t>
  </si>
  <si>
    <t>Chronic NOEL</t>
  </si>
  <si>
    <t>Chronic Est. NOEC</t>
  </si>
  <si>
    <t>Converted Acute</t>
  </si>
  <si>
    <r>
      <t>PREFERENTIAL SELECTION &amp; GROUPING OF DATA (</t>
    </r>
    <r>
      <rPr>
        <b/>
        <i/>
        <sz val="10"/>
        <color indexed="9"/>
        <rFont val="Arial"/>
        <family val="2"/>
      </rPr>
      <t>See Warne et al., revised method - Table 5.)</t>
    </r>
  </si>
  <si>
    <r>
      <t>Species Name</t>
    </r>
    <r>
      <rPr>
        <i/>
        <sz val="10"/>
        <rFont val="Calibri"/>
        <family val="2"/>
      </rPr>
      <t xml:space="preserve"> (repeat from Column E)</t>
    </r>
  </si>
  <si>
    <t>Type of toxicity data</t>
  </si>
  <si>
    <t>QAQC #1</t>
  </si>
  <si>
    <t>Yes</t>
  </si>
  <si>
    <t>QAQC #2</t>
  </si>
  <si>
    <t>QAQC #3</t>
  </si>
  <si>
    <t>QAQC #4</t>
  </si>
  <si>
    <t>QAQC #5</t>
  </si>
  <si>
    <t>Legend</t>
  </si>
  <si>
    <t>Summary Final Results</t>
  </si>
  <si>
    <t>Comments</t>
  </si>
  <si>
    <t>Do not use - photosynthetic inhibition. Not acceptable endpoint.</t>
  </si>
  <si>
    <t>Do Not Use - as concentration is a &gt; value</t>
  </si>
  <si>
    <t>Changed to a LOEL because the NOEL value was "&lt;"</t>
  </si>
  <si>
    <t>Do not use - There is already a Chlorella species so it is not certain if this is a different species.</t>
  </si>
  <si>
    <t>Ametryn (Fresh)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</si>
</sst>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sz val="10"/>
      <name val="Arial Unicode MS"/>
      <family val="2"/>
    </font>
    <font>
      <sz val="10"/>
      <name val="Arial Unicode MS"/>
      <family val="2"/>
    </font>
    <font>
      <b/>
      <sz val="11"/>
      <color indexed="9"/>
      <name val="Calibri"/>
      <family val="2"/>
    </font>
    <font>
      <b/>
      <sz val="10"/>
      <color indexed="8"/>
      <name val="Calibri"/>
      <family val="2"/>
    </font>
    <font>
      <b/>
      <i/>
      <sz val="11"/>
      <color indexed="9"/>
      <name val="Calibri"/>
      <family val="2"/>
    </font>
    <font>
      <b/>
      <i/>
      <sz val="10"/>
      <color indexed="9"/>
      <name val="Arial"/>
      <family val="2"/>
    </font>
    <font>
      <sz val="10"/>
      <color indexed="8"/>
      <name val="Calibri"/>
      <family val="2"/>
    </font>
    <font>
      <sz val="10"/>
      <name val="Arial Unicode MS"/>
      <family val="2"/>
    </font>
    <font>
      <sz val="10"/>
      <name val="Arial Unicode MS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3F3F3F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b/>
      <i/>
      <sz val="10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rgb="FFFF000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theme="2"/>
        <bgColor rgb="FFC0C0C0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rgb="FFC0C0C0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5" tint="0.59999389629810485"/>
        <bgColor rgb="FFC0C0C0"/>
      </patternFill>
    </fill>
    <fill>
      <patternFill patternType="solid">
        <fgColor rgb="FFFF99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9FFCC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</borders>
  <cellStyleXfs count="35">
    <xf numFmtId="0" fontId="0" fillId="0" borderId="0"/>
    <xf numFmtId="0" fontId="20" fillId="3" borderId="2" applyNumberFormat="0" applyAlignment="0" applyProtection="0"/>
    <xf numFmtId="0" fontId="21" fillId="4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3" fillId="0" borderId="0"/>
    <xf numFmtId="0" fontId="13" fillId="0" borderId="0"/>
    <xf numFmtId="0" fontId="1" fillId="0" borderId="0"/>
    <xf numFmtId="0" fontId="22" fillId="2" borderId="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4">
    <xf numFmtId="0" fontId="0" fillId="0" borderId="0" xfId="0"/>
    <xf numFmtId="0" fontId="19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4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5" fillId="5" borderId="0" xfId="4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6" borderId="0" xfId="4" applyFont="1" applyFill="1" applyBorder="1" applyAlignment="1" applyProtection="1">
      <alignment horizontal="center" vertical="center" wrapText="1"/>
    </xf>
    <xf numFmtId="0" fontId="2" fillId="7" borderId="0" xfId="4" applyFont="1" applyFill="1" applyBorder="1" applyAlignment="1" applyProtection="1">
      <alignment horizontal="center" vertical="center" wrapText="1"/>
    </xf>
    <xf numFmtId="0" fontId="26" fillId="8" borderId="0" xfId="23" applyFont="1" applyFill="1" applyBorder="1" applyAlignment="1" applyProtection="1">
      <alignment horizontal="center" vertical="center" wrapText="1"/>
    </xf>
    <xf numFmtId="0" fontId="2" fillId="9" borderId="0" xfId="4" applyFont="1" applyFill="1" applyBorder="1" applyAlignment="1" applyProtection="1">
      <alignment horizontal="center" vertical="center" wrapText="1"/>
    </xf>
    <xf numFmtId="0" fontId="25" fillId="9" borderId="0" xfId="4" applyFont="1" applyFill="1" applyBorder="1" applyAlignment="1" applyProtection="1">
      <alignment horizontal="center" vertical="center" wrapText="1"/>
    </xf>
    <xf numFmtId="0" fontId="2" fillId="10" borderId="0" xfId="4" applyFont="1" applyFill="1" applyBorder="1" applyAlignment="1" applyProtection="1">
      <alignment horizontal="center" vertical="center" wrapText="1"/>
    </xf>
    <xf numFmtId="0" fontId="25" fillId="10" borderId="0" xfId="4" applyFont="1" applyFill="1" applyBorder="1" applyAlignment="1" applyProtection="1">
      <alignment horizontal="center" vertical="center" wrapText="1"/>
    </xf>
    <xf numFmtId="0" fontId="27" fillId="11" borderId="0" xfId="4" applyFont="1" applyFill="1" applyBorder="1" applyAlignment="1" applyProtection="1">
      <alignment horizontal="center" vertical="center" wrapText="1"/>
    </xf>
    <xf numFmtId="0" fontId="2" fillId="12" borderId="0" xfId="4" applyFont="1" applyFill="1" applyBorder="1" applyAlignment="1" applyProtection="1">
      <alignment horizontal="center" vertical="center" wrapText="1"/>
    </xf>
    <xf numFmtId="0" fontId="26" fillId="2" borderId="0" xfId="23" applyFont="1" applyBorder="1" applyAlignment="1" applyProtection="1">
      <alignment horizontal="center" vertical="center" wrapText="1"/>
    </xf>
    <xf numFmtId="0" fontId="23" fillId="0" borderId="0" xfId="0" applyFont="1" applyBorder="1"/>
    <xf numFmtId="0" fontId="25" fillId="13" borderId="0" xfId="4" applyFont="1" applyFill="1" applyBorder="1" applyAlignment="1" applyProtection="1">
      <alignment horizontal="center" vertical="center" wrapText="1"/>
    </xf>
    <xf numFmtId="0" fontId="25" fillId="0" borderId="0" xfId="4" applyFont="1" applyFill="1" applyBorder="1" applyAlignment="1" applyProtection="1">
      <alignment horizontal="center" vertical="center" wrapText="1"/>
    </xf>
    <xf numFmtId="0" fontId="28" fillId="0" borderId="0" xfId="22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9" fillId="0" borderId="0" xfId="23" applyFont="1" applyFill="1" applyBorder="1" applyAlignment="1" applyProtection="1">
      <alignment horizontal="center" vertical="center" wrapText="1"/>
    </xf>
    <xf numFmtId="0" fontId="25" fillId="14" borderId="0" xfId="4" applyFont="1" applyFill="1" applyBorder="1" applyAlignment="1" applyProtection="1">
      <alignment horizontal="center" vertical="center" wrapText="1"/>
    </xf>
    <xf numFmtId="0" fontId="23" fillId="15" borderId="0" xfId="0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30" fillId="16" borderId="0" xfId="0" applyFont="1" applyFill="1" applyBorder="1"/>
    <xf numFmtId="0" fontId="30" fillId="16" borderId="0" xfId="0" applyFont="1" applyFill="1" applyBorder="1" applyAlignment="1">
      <alignment horizontal="center"/>
    </xf>
    <xf numFmtId="0" fontId="0" fillId="16" borderId="0" xfId="0" applyFill="1" applyBorder="1"/>
    <xf numFmtId="0" fontId="31" fillId="16" borderId="0" xfId="0" applyFont="1" applyFill="1" applyBorder="1" applyAlignment="1">
      <alignment wrapText="1"/>
    </xf>
    <xf numFmtId="0" fontId="31" fillId="16" borderId="0" xfId="0" applyFont="1" applyFill="1" applyBorder="1" applyAlignment="1">
      <alignment horizontal="center"/>
    </xf>
    <xf numFmtId="0" fontId="23" fillId="16" borderId="0" xfId="0" applyFont="1" applyFill="1" applyBorder="1" applyAlignment="1">
      <alignment horizontal="center"/>
    </xf>
    <xf numFmtId="0" fontId="20" fillId="3" borderId="2" xfId="1"/>
    <xf numFmtId="0" fontId="28" fillId="17" borderId="0" xfId="22" applyFont="1" applyFill="1" applyBorder="1" applyAlignment="1"/>
    <xf numFmtId="0" fontId="23" fillId="18" borderId="0" xfId="0" applyFont="1" applyFill="1" applyBorder="1" applyAlignment="1"/>
    <xf numFmtId="0" fontId="23" fillId="18" borderId="0" xfId="0" applyFont="1" applyFill="1" applyBorder="1" applyAlignment="1">
      <alignment horizontal="center" vertical="center"/>
    </xf>
    <xf numFmtId="0" fontId="23" fillId="18" borderId="0" xfId="0" applyFont="1" applyFill="1" applyBorder="1" applyAlignment="1">
      <alignment horizontal="center" vertical="center" wrapText="1"/>
    </xf>
    <xf numFmtId="0" fontId="32" fillId="16" borderId="0" xfId="22" applyFont="1" applyFill="1" applyBorder="1" applyAlignment="1">
      <alignment wrapText="1"/>
    </xf>
    <xf numFmtId="0" fontId="20" fillId="3" borderId="2" xfId="1" applyAlignment="1">
      <alignment horizontal="center"/>
    </xf>
    <xf numFmtId="0" fontId="33" fillId="19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23" fillId="0" borderId="0" xfId="0" applyFont="1"/>
    <xf numFmtId="0" fontId="23" fillId="0" borderId="0" xfId="0" applyFont="1" applyFill="1"/>
    <xf numFmtId="0" fontId="0" fillId="15" borderId="0" xfId="0" applyFill="1"/>
    <xf numFmtId="0" fontId="19" fillId="20" borderId="0" xfId="0" applyFont="1" applyFill="1"/>
    <xf numFmtId="0" fontId="23" fillId="21" borderId="0" xfId="0" applyFont="1" applyFill="1" applyBorder="1" applyAlignment="1">
      <alignment horizontal="center"/>
    </xf>
    <xf numFmtId="0" fontId="28" fillId="0" borderId="0" xfId="22" applyFont="1" applyFill="1" applyBorder="1" applyAlignment="1"/>
    <xf numFmtId="0" fontId="23" fillId="0" borderId="0" xfId="0" applyFont="1" applyFill="1" applyBorder="1" applyAlignment="1"/>
    <xf numFmtId="0" fontId="20" fillId="0" borderId="0" xfId="1" applyFill="1" applyBorder="1"/>
    <xf numFmtId="0" fontId="20" fillId="0" borderId="0" xfId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35" fillId="0" borderId="0" xfId="0" applyFont="1" applyBorder="1" applyAlignment="1">
      <alignment horizontal="center"/>
    </xf>
    <xf numFmtId="0" fontId="28" fillId="17" borderId="0" xfId="22" applyFont="1" applyFill="1" applyBorder="1" applyAlignment="1">
      <alignment horizontal="center"/>
    </xf>
    <xf numFmtId="0" fontId="25" fillId="22" borderId="0" xfId="4" applyFont="1" applyFill="1" applyBorder="1" applyAlignment="1" applyProtection="1">
      <alignment horizontal="center" vertical="center" wrapText="1"/>
    </xf>
    <xf numFmtId="1" fontId="25" fillId="23" borderId="0" xfId="4" applyNumberFormat="1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2" fillId="14" borderId="0" xfId="4" applyFont="1" applyFill="1" applyBorder="1" applyAlignment="1">
      <alignment horizontal="center" vertical="center" wrapText="1"/>
    </xf>
    <xf numFmtId="0" fontId="33" fillId="24" borderId="0" xfId="0" applyFont="1" applyFill="1" applyAlignment="1">
      <alignment horizontal="center" vertical="center" wrapText="1"/>
    </xf>
    <xf numFmtId="0" fontId="30" fillId="0" borderId="0" xfId="4" applyFont="1" applyBorder="1" applyAlignment="1">
      <alignment vertical="center" wrapText="1"/>
    </xf>
    <xf numFmtId="0" fontId="29" fillId="0" borderId="4" xfId="23" applyFont="1" applyFill="1" applyBorder="1" applyAlignment="1" applyProtection="1">
      <alignment horizontal="center" vertical="center" wrapText="1"/>
    </xf>
    <xf numFmtId="0" fontId="18" fillId="25" borderId="0" xfId="4" applyFill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0" fillId="3" borderId="2" xfId="1" applyAlignment="1">
      <alignment horizontal="center" vertical="center" wrapText="1"/>
    </xf>
    <xf numFmtId="0" fontId="20" fillId="3" borderId="2" xfId="1" applyNumberFormat="1" applyAlignment="1">
      <alignment horizontal="center"/>
    </xf>
    <xf numFmtId="0" fontId="18" fillId="0" borderId="0" xfId="4" applyFill="1" applyAlignment="1">
      <alignment horizontal="center"/>
    </xf>
    <xf numFmtId="0" fontId="18" fillId="0" borderId="0" xfId="4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18" fillId="0" borderId="0" xfId="4" applyNumberFormat="1" applyFill="1" applyAlignment="1">
      <alignment horizontal="center"/>
    </xf>
    <xf numFmtId="0" fontId="18" fillId="26" borderId="0" xfId="4" applyFill="1"/>
    <xf numFmtId="0" fontId="18" fillId="27" borderId="0" xfId="4" applyFill="1"/>
    <xf numFmtId="0" fontId="18" fillId="0" borderId="0" xfId="4" applyFill="1"/>
    <xf numFmtId="0" fontId="0" fillId="0" borderId="0" xfId="0" applyNumberFormat="1" applyBorder="1" applyAlignment="1">
      <alignment horizontal="center"/>
    </xf>
    <xf numFmtId="0" fontId="27" fillId="11" borderId="0" xfId="4" applyNumberFormat="1" applyFont="1" applyFill="1" applyBorder="1" applyAlignment="1" applyProtection="1">
      <alignment horizontal="center" vertical="center" wrapText="1"/>
    </xf>
    <xf numFmtId="0" fontId="18" fillId="0" borderId="0" xfId="4" applyFill="1" applyBorder="1" applyAlignment="1">
      <alignment horizontal="center"/>
    </xf>
    <xf numFmtId="49" fontId="20" fillId="3" borderId="2" xfId="1" applyNumberFormat="1"/>
    <xf numFmtId="0" fontId="0" fillId="0" borderId="0" xfId="0" applyNumberFormat="1" applyFill="1" applyBorder="1" applyAlignment="1">
      <alignment horizontal="center"/>
    </xf>
    <xf numFmtId="0" fontId="18" fillId="0" borderId="0" xfId="4" applyFill="1" applyAlignment="1">
      <alignment horizontal="left"/>
    </xf>
    <xf numFmtId="49" fontId="18" fillId="0" borderId="0" xfId="4" applyNumberFormat="1" applyFont="1" applyFill="1"/>
    <xf numFmtId="0" fontId="18" fillId="0" borderId="0" xfId="4" applyNumberFormat="1" applyFont="1" applyFill="1"/>
    <xf numFmtId="0" fontId="18" fillId="0" borderId="0" xfId="4" applyNumberFormat="1" applyFill="1"/>
    <xf numFmtId="0" fontId="18" fillId="0" borderId="0" xfId="4" applyFill="1" applyBorder="1"/>
    <xf numFmtId="0" fontId="23" fillId="21" borderId="0" xfId="0" applyFont="1" applyFill="1" applyBorder="1" applyAlignment="1">
      <alignment horizontal="center"/>
    </xf>
    <xf numFmtId="0" fontId="20" fillId="3" borderId="5" xfId="1" applyBorder="1"/>
    <xf numFmtId="0" fontId="20" fillId="3" borderId="6" xfId="1" applyBorder="1"/>
    <xf numFmtId="0" fontId="3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18" fillId="0" borderId="0" xfId="4" applyNumberFormat="1" applyFont="1" applyFill="1" applyBorder="1"/>
    <xf numFmtId="0" fontId="18" fillId="0" borderId="0" xfId="4" applyNumberFormat="1" applyFill="1" applyBorder="1"/>
    <xf numFmtId="0" fontId="18" fillId="0" borderId="0" xfId="4" applyNumberFormat="1" applyFont="1" applyFill="1"/>
    <xf numFmtId="0" fontId="0" fillId="0" borderId="0" xfId="0" applyFill="1" applyAlignment="1">
      <alignment horizontal="center" wrapText="1"/>
    </xf>
    <xf numFmtId="0" fontId="36" fillId="0" borderId="0" xfId="0" applyFont="1" applyBorder="1"/>
    <xf numFmtId="0" fontId="37" fillId="3" borderId="2" xfId="1" applyFont="1"/>
    <xf numFmtId="0" fontId="0" fillId="0" borderId="7" xfId="0" applyFill="1" applyBorder="1" applyAlignment="1">
      <alignment vertical="top" wrapText="1"/>
    </xf>
    <xf numFmtId="0" fontId="36" fillId="0" borderId="0" xfId="4" applyFont="1" applyFill="1"/>
    <xf numFmtId="0" fontId="36" fillId="0" borderId="7" xfId="0" applyFont="1" applyFill="1" applyBorder="1" applyAlignment="1">
      <alignment vertical="top" wrapText="1"/>
    </xf>
    <xf numFmtId="0" fontId="37" fillId="3" borderId="5" xfId="1" applyFont="1" applyBorder="1"/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23" fillId="0" borderId="0" xfId="0" applyFont="1" applyFill="1" applyBorder="1" applyAlignment="1">
      <alignment horizontal="right"/>
    </xf>
    <xf numFmtId="0" fontId="36" fillId="0" borderId="0" xfId="0" applyFont="1" applyFill="1" applyBorder="1" applyAlignment="1">
      <alignment horizontal="left"/>
    </xf>
    <xf numFmtId="0" fontId="38" fillId="0" borderId="0" xfId="0" applyFont="1" applyBorder="1"/>
    <xf numFmtId="0" fontId="38" fillId="0" borderId="0" xfId="0" applyFont="1" applyFill="1" applyBorder="1"/>
    <xf numFmtId="0" fontId="38" fillId="0" borderId="0" xfId="0" applyFont="1"/>
    <xf numFmtId="0" fontId="38" fillId="0" borderId="0" xfId="1" applyFont="1" applyFill="1" applyBorder="1" applyAlignment="1">
      <alignment horizontal="center"/>
    </xf>
    <xf numFmtId="0" fontId="38" fillId="0" borderId="0" xfId="1" applyFont="1" applyFill="1" applyBorder="1"/>
    <xf numFmtId="0" fontId="39" fillId="0" borderId="0" xfId="1" applyFont="1" applyFill="1" applyBorder="1"/>
    <xf numFmtId="0" fontId="24" fillId="0" borderId="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38" fillId="28" borderId="0" xfId="1" applyFont="1" applyFill="1" applyBorder="1" applyAlignment="1">
      <alignment horizontal="center"/>
    </xf>
    <xf numFmtId="0" fontId="18" fillId="0" borderId="0" xfId="1" applyFont="1" applyFill="1" applyBorder="1"/>
    <xf numFmtId="0" fontId="0" fillId="0" borderId="0" xfId="0" applyFont="1" applyFill="1" applyBorder="1"/>
    <xf numFmtId="0" fontId="18" fillId="0" borderId="0" xfId="1" applyFont="1" applyFill="1" applyBorder="1"/>
    <xf numFmtId="0" fontId="18" fillId="0" borderId="0" xfId="1" applyFont="1" applyFill="1" applyBorder="1" applyAlignment="1">
      <alignment horizontal="center"/>
    </xf>
    <xf numFmtId="0" fontId="20" fillId="28" borderId="2" xfId="1" applyFill="1" applyAlignment="1">
      <alignment horizontal="center"/>
    </xf>
    <xf numFmtId="0" fontId="18" fillId="0" borderId="1" xfId="4" applyFill="1" applyBorder="1"/>
    <xf numFmtId="0" fontId="18" fillId="0" borderId="1" xfId="4" applyNumberFormat="1" applyFont="1" applyFill="1" applyBorder="1"/>
    <xf numFmtId="0" fontId="18" fillId="0" borderId="1" xfId="4" applyNumberFormat="1" applyFill="1" applyBorder="1"/>
    <xf numFmtId="0" fontId="18" fillId="0" borderId="0" xfId="4" applyFont="1" applyFill="1" applyBorder="1"/>
    <xf numFmtId="0" fontId="18" fillId="0" borderId="0" xfId="4" applyNumberFormat="1" applyFont="1" applyFill="1" applyBorder="1"/>
    <xf numFmtId="0" fontId="36" fillId="0" borderId="0" xfId="0" applyFont="1" applyBorder="1" applyAlignment="1">
      <alignment horizontal="left"/>
    </xf>
    <xf numFmtId="0" fontId="40" fillId="17" borderId="0" xfId="22" applyFont="1" applyFill="1" applyBorder="1" applyAlignment="1">
      <alignment horizontal="left"/>
    </xf>
    <xf numFmtId="0" fontId="14" fillId="12" borderId="0" xfId="4" applyFont="1" applyFill="1" applyBorder="1" applyAlignment="1" applyProtection="1">
      <alignment horizontal="center" vertical="center" wrapText="1"/>
    </xf>
    <xf numFmtId="0" fontId="36" fillId="0" borderId="0" xfId="4" applyFont="1" applyFill="1" applyAlignment="1">
      <alignment horizontal="left"/>
    </xf>
    <xf numFmtId="0" fontId="23" fillId="0" borderId="0" xfId="0" applyFont="1" applyFill="1" applyBorder="1" applyAlignment="1">
      <alignment horizontal="left"/>
    </xf>
    <xf numFmtId="0" fontId="36" fillId="29" borderId="0" xfId="4" applyFont="1" applyFill="1"/>
    <xf numFmtId="0" fontId="36" fillId="29" borderId="1" xfId="4" applyFont="1" applyFill="1" applyBorder="1"/>
    <xf numFmtId="0" fontId="36" fillId="21" borderId="0" xfId="4" applyFont="1" applyFill="1"/>
    <xf numFmtId="0" fontId="36" fillId="21" borderId="0" xfId="4" applyFont="1" applyFill="1" applyBorder="1"/>
    <xf numFmtId="0" fontId="39" fillId="21" borderId="0" xfId="4" applyFont="1" applyFill="1"/>
    <xf numFmtId="0" fontId="0" fillId="30" borderId="0" xfId="0" applyFill="1" applyBorder="1" applyAlignment="1">
      <alignment horizontal="center"/>
    </xf>
    <xf numFmtId="0" fontId="0" fillId="30" borderId="0" xfId="0" applyFill="1" applyBorder="1"/>
    <xf numFmtId="0" fontId="18" fillId="30" borderId="0" xfId="4" applyFill="1" applyAlignment="1">
      <alignment horizontal="center"/>
    </xf>
    <xf numFmtId="0" fontId="18" fillId="30" borderId="0" xfId="4" applyNumberFormat="1" applyFont="1" applyFill="1" applyAlignment="1">
      <alignment horizontal="center"/>
    </xf>
    <xf numFmtId="0" fontId="0" fillId="30" borderId="0" xfId="0" applyFill="1" applyAlignment="1">
      <alignment horizontal="center"/>
    </xf>
    <xf numFmtId="0" fontId="18" fillId="30" borderId="0" xfId="4" applyNumberFormat="1" applyFill="1" applyAlignment="1">
      <alignment horizontal="center"/>
    </xf>
    <xf numFmtId="0" fontId="36" fillId="30" borderId="0" xfId="4" applyFont="1" applyFill="1" applyAlignment="1">
      <alignment horizontal="left"/>
    </xf>
    <xf numFmtId="0" fontId="18" fillId="30" borderId="0" xfId="4" applyFill="1" applyAlignment="1">
      <alignment horizontal="left"/>
    </xf>
    <xf numFmtId="0" fontId="18" fillId="30" borderId="0" xfId="4" applyFill="1"/>
    <xf numFmtId="0" fontId="36" fillId="30" borderId="0" xfId="4" applyFont="1" applyFill="1"/>
    <xf numFmtId="0" fontId="18" fillId="30" borderId="0" xfId="4" applyNumberFormat="1" applyFont="1" applyFill="1"/>
    <xf numFmtId="0" fontId="18" fillId="30" borderId="0" xfId="4" applyNumberFormat="1" applyFill="1"/>
    <xf numFmtId="0" fontId="0" fillId="30" borderId="0" xfId="0" applyNumberFormat="1" applyFill="1" applyBorder="1" applyAlignment="1">
      <alignment horizontal="center"/>
    </xf>
    <xf numFmtId="0" fontId="36" fillId="30" borderId="0" xfId="0" applyFont="1" applyFill="1" applyBorder="1" applyAlignment="1">
      <alignment horizontal="center"/>
    </xf>
    <xf numFmtId="0" fontId="0" fillId="30" borderId="0" xfId="0" applyFill="1" applyBorder="1" applyAlignment="1">
      <alignment horizontal="left"/>
    </xf>
    <xf numFmtId="0" fontId="36" fillId="21" borderId="0" xfId="4" applyFont="1" applyFill="1" applyAlignment="1">
      <alignment horizontal="left"/>
    </xf>
    <xf numFmtId="0" fontId="36" fillId="29" borderId="0" xfId="4" applyFont="1" applyFill="1" applyAlignment="1">
      <alignment horizontal="left"/>
    </xf>
    <xf numFmtId="0" fontId="20" fillId="0" borderId="0" xfId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23" fillId="31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wrapText="1"/>
    </xf>
    <xf numFmtId="0" fontId="42" fillId="0" borderId="0" xfId="0" applyFont="1" applyFill="1" applyBorder="1" applyAlignment="1">
      <alignment horizontal="left"/>
    </xf>
    <xf numFmtId="0" fontId="2" fillId="7" borderId="0" xfId="4" applyFont="1" applyFill="1" applyBorder="1" applyAlignment="1" applyProtection="1">
      <alignment horizontal="left" vertical="center" wrapText="1"/>
    </xf>
    <xf numFmtId="0" fontId="21" fillId="4" borderId="0" xfId="2" applyBorder="1" applyAlignment="1">
      <alignment horizontal="left"/>
    </xf>
    <xf numFmtId="0" fontId="20" fillId="3" borderId="2" xfId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21" fillId="30" borderId="0" xfId="2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37" fillId="3" borderId="2" xfId="1" applyFont="1" applyAlignment="1">
      <alignment horizontal="left"/>
    </xf>
    <xf numFmtId="0" fontId="39" fillId="0" borderId="0" xfId="0" applyFont="1" applyBorder="1" applyAlignment="1">
      <alignment horizontal="left"/>
    </xf>
    <xf numFmtId="0" fontId="36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0" fillId="32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0" fontId="34" fillId="35" borderId="0" xfId="0" applyFont="1" applyFill="1" applyAlignment="1">
      <alignment horizontal="center" vertical="center"/>
    </xf>
    <xf numFmtId="0" fontId="19" fillId="20" borderId="0" xfId="0" applyFont="1" applyFill="1" applyBorder="1" applyAlignment="1">
      <alignment horizontal="center" vertical="center"/>
    </xf>
    <xf numFmtId="0" fontId="20" fillId="36" borderId="0" xfId="0" applyFont="1" applyFill="1" applyBorder="1" applyAlignment="1">
      <alignment horizontal="center" vertical="center"/>
    </xf>
    <xf numFmtId="0" fontId="28" fillId="37" borderId="0" xfId="22" applyFont="1" applyFill="1" applyBorder="1" applyAlignment="1">
      <alignment horizontal="center" vertical="center"/>
    </xf>
    <xf numFmtId="0" fontId="23" fillId="38" borderId="0" xfId="0" applyFont="1" applyFill="1" applyBorder="1" applyAlignment="1">
      <alignment horizontal="center" vertical="center"/>
    </xf>
    <xf numFmtId="0" fontId="23" fillId="21" borderId="0" xfId="0" applyFont="1" applyFill="1" applyBorder="1" applyAlignment="1">
      <alignment horizontal="center"/>
    </xf>
    <xf numFmtId="0" fontId="23" fillId="18" borderId="0" xfId="0" applyFont="1" applyFill="1" applyBorder="1" applyAlignment="1">
      <alignment horizontal="center"/>
    </xf>
    <xf numFmtId="0" fontId="20" fillId="39" borderId="0" xfId="4" applyFont="1" applyFill="1" applyBorder="1" applyAlignment="1">
      <alignment horizontal="center" vertical="center" wrapText="1"/>
    </xf>
    <xf numFmtId="0" fontId="23" fillId="40" borderId="0" xfId="4" applyFont="1" applyFill="1" applyBorder="1" applyAlignment="1">
      <alignment horizontal="center" vertical="center" wrapText="1"/>
    </xf>
  </cellXfs>
  <cellStyles count="35">
    <cellStyle name="Check Cell" xfId="1" builtinId="23"/>
    <cellStyle name="Good" xfId="2" builtinId="26"/>
    <cellStyle name="Hyperlink 2" xfId="3" xr:uid="{2092BF43-A76E-498D-989D-1C2B0EB7DDA4}"/>
    <cellStyle name="Normal" xfId="0" builtinId="0"/>
    <cellStyle name="Normal 2" xfId="4" xr:uid="{3879CE80-FA86-45C9-9509-B8D29F03E797}"/>
    <cellStyle name="Normal 2 2" xfId="5" xr:uid="{7EB23BD9-6AB3-483F-BED7-011925D8CAB8}"/>
    <cellStyle name="Normal 2 2 2" xfId="6" xr:uid="{B3B1310A-B64A-433A-966B-00EB2550D825}"/>
    <cellStyle name="Normal 2 3" xfId="7" xr:uid="{098C3865-6505-4D20-B55D-A5E113A0742D}"/>
    <cellStyle name="Normal 3" xfId="8" xr:uid="{A00D0F99-ACD9-4DC8-96CE-31C6E9C6DADD}"/>
    <cellStyle name="Normal 3 2" xfId="9" xr:uid="{96D56075-AB6D-434F-8ED4-7A8A38A14C5C}"/>
    <cellStyle name="Normal 4" xfId="10" xr:uid="{13F150C9-FC27-4062-8EDC-0D3D80B88387}"/>
    <cellStyle name="Normal 4 2" xfId="11" xr:uid="{05712D0E-7A36-4132-A435-320E98DB3D4C}"/>
    <cellStyle name="Normal 4 3" xfId="12" xr:uid="{3160615D-A1B2-4D8B-A98C-815BB34A3FD9}"/>
    <cellStyle name="Normal 4 4" xfId="13" xr:uid="{21534970-0668-4792-91FB-A675C5F80B38}"/>
    <cellStyle name="Normal 4 5" xfId="14" xr:uid="{03D18236-3B12-47BE-8710-F7E9032F2375}"/>
    <cellStyle name="Normal 4 6" xfId="15" xr:uid="{76976CF9-10E7-45E2-BBF0-83BF5BDBA61D}"/>
    <cellStyle name="Normal 5" xfId="16" xr:uid="{15F0913F-B0B1-4E48-9A86-FA2454D6E598}"/>
    <cellStyle name="Normal 5 2" xfId="17" xr:uid="{57E9B335-681D-46CB-B059-44C9B44E4CA5}"/>
    <cellStyle name="Normal 6" xfId="18" xr:uid="{6B26F718-EBC3-4E5F-BEDF-29B9ECE874A8}"/>
    <cellStyle name="Normal 6 2" xfId="19" xr:uid="{B5D954C5-2820-4B7E-874E-EC0E09127866}"/>
    <cellStyle name="Normal 6 3" xfId="20" xr:uid="{1D0624DB-2DEF-4DC2-AB1A-AFE524C0DB85}"/>
    <cellStyle name="Normal 7" xfId="21" xr:uid="{312B6EB4-F9CF-445D-B76A-538299FA85C7}"/>
    <cellStyle name="Normal_Sheet1" xfId="22" xr:uid="{057F3655-91EF-4A87-AF19-937BB18484C8}"/>
    <cellStyle name="Output" xfId="23" builtinId="21"/>
    <cellStyle name="Percent 2" xfId="24" xr:uid="{21785D35-36D8-47E5-A55D-DD2477B991A1}"/>
    <cellStyle name="Percent 2 2" xfId="25" xr:uid="{5E89D796-ECBD-492E-BA28-45C8F37C5134}"/>
    <cellStyle name="Percent 3" xfId="26" xr:uid="{6DA87495-D2EF-4DE7-B184-8D66C5A5228E}"/>
    <cellStyle name="Percent 3 2" xfId="27" xr:uid="{0A5DC4FB-356C-4760-BFB4-0978DB88FBE2}"/>
    <cellStyle name="Percent 3 2 2" xfId="28" xr:uid="{31834521-3698-451C-8800-F7676B62C942}"/>
    <cellStyle name="Percent 3 3" xfId="29" xr:uid="{7AE59565-CB92-45CB-92AD-3792B55E2A5E}"/>
    <cellStyle name="Percent 4" xfId="30" xr:uid="{E2E78932-7610-4B3D-A186-E145119E2677}"/>
    <cellStyle name="Percent 4 2" xfId="31" xr:uid="{62D80EFB-84E8-4255-B105-6E1D73A168F8}"/>
    <cellStyle name="Percent 4 3" xfId="32" xr:uid="{580D4F27-178D-433F-9158-F92C805FD4FE}"/>
    <cellStyle name="Percent 4 4" xfId="33" xr:uid="{411D32A6-C760-45C6-ABBA-6E4CFC2F2885}"/>
    <cellStyle name="Percent 4 5" xfId="34" xr:uid="{14DD3B29-5CC4-4B1E-B5F3-9A2620B77393}"/>
  </cellStyles>
  <dxfs count="167"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  <dxf>
      <font>
        <color theme="0"/>
      </font>
      <fill>
        <patternFill>
          <bgColor rgb="FF990000"/>
        </patternFill>
      </fill>
    </dxf>
    <dxf>
      <font>
        <color auto="1"/>
      </font>
      <fill>
        <patternFill>
          <fgColor theme="0"/>
          <bgColor rgb="FF99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56036-25DC-43FF-873C-3AAE8913C4A2}">
  <sheetPr codeName="Sheet1" filterMode="1"/>
  <dimension ref="A1:DC141"/>
  <sheetViews>
    <sheetView tabSelected="1" zoomScale="80" zoomScaleNormal="80" workbookViewId="0">
      <pane xSplit="5" topLeftCell="F1" activePane="topRight" state="frozen"/>
      <selection activeCell="A6" sqref="A6"/>
      <selection pane="topRight" activeCell="C29" sqref="C29"/>
    </sheetView>
  </sheetViews>
  <sheetFormatPr defaultColWidth="11.42578125" defaultRowHeight="15"/>
  <cols>
    <col min="1" max="1" width="12.140625" style="68" customWidth="1"/>
    <col min="2" max="2" width="11" style="7" customWidth="1"/>
    <col min="3" max="3" width="38.140625" style="2" customWidth="1"/>
    <col min="4" max="4" width="19.7109375" style="6" customWidth="1"/>
    <col min="5" max="5" width="34.140625" style="53" customWidth="1"/>
    <col min="6" max="6" width="19.28515625" style="6" customWidth="1"/>
    <col min="7" max="7" width="25.28515625" style="6" customWidth="1"/>
    <col min="8" max="8" width="22.7109375" style="7" customWidth="1"/>
    <col min="9" max="9" width="13.140625" style="7" customWidth="1"/>
    <col min="10" max="10" width="21.7109375" style="7" customWidth="1"/>
    <col min="11" max="11" width="3.7109375" style="2" customWidth="1"/>
    <col min="12" max="12" width="26.42578125" style="160" customWidth="1"/>
    <col min="13" max="13" width="12.140625" style="53" customWidth="1"/>
    <col min="14" max="14" width="21.85546875" style="53" customWidth="1"/>
    <col min="15" max="18" width="12.140625" style="7" customWidth="1"/>
    <col min="19" max="19" width="3.85546875" style="4" customWidth="1"/>
    <col min="20" max="20" width="14.28515625" style="4" customWidth="1"/>
    <col min="21" max="21" width="9.42578125" style="4" customWidth="1"/>
    <col min="22" max="22" width="12.7109375" style="7" customWidth="1"/>
    <col min="23" max="23" width="11" style="7" customWidth="1"/>
    <col min="24" max="24" width="4.140625" style="6" customWidth="1"/>
    <col min="25" max="25" width="10.85546875" style="7" customWidth="1"/>
    <col min="26" max="26" width="14.140625" style="7" customWidth="1"/>
    <col min="27" max="27" width="14.42578125" style="7" customWidth="1"/>
    <col min="28" max="28" width="13.42578125" style="7" bestFit="1" customWidth="1"/>
    <col min="29" max="29" width="14.42578125" style="7" customWidth="1"/>
    <col min="30" max="30" width="16.42578125" style="7" customWidth="1"/>
    <col min="31" max="31" width="17" style="51" customWidth="1"/>
    <col min="32" max="32" width="25.7109375" style="128" customWidth="1"/>
    <col min="33" max="34" width="20.28515625" style="6" customWidth="1"/>
    <col min="35" max="35" width="5.42578125" style="2" customWidth="1"/>
    <col min="36" max="37" width="20.28515625" style="6" customWidth="1"/>
    <col min="38" max="38" width="27.42578125" style="6" customWidth="1"/>
    <col min="39" max="39" width="15.28515625" style="68" customWidth="1"/>
    <col min="40" max="40" width="16.85546875" style="68" customWidth="1"/>
    <col min="41" max="41" width="16.42578125" style="68" customWidth="1"/>
    <col min="42" max="42" width="4" style="2" customWidth="1"/>
    <col min="43" max="43" width="27.140625" style="78" customWidth="1"/>
    <col min="44" max="46" width="29" style="6" customWidth="1"/>
    <col min="47" max="47" width="21.140625" style="7" customWidth="1"/>
    <col min="48" max="49" width="4.7109375" style="65" customWidth="1"/>
    <col min="50" max="50" width="18.28515625" style="6" customWidth="1"/>
    <col min="51" max="51" width="23.42578125" style="6" customWidth="1"/>
    <col min="52" max="52" width="13.140625" style="6" customWidth="1"/>
    <col min="53" max="53" width="19.85546875" style="6" customWidth="1"/>
    <col min="54" max="54" width="15.140625" style="6" customWidth="1"/>
    <col min="55" max="55" width="16" style="6" customWidth="1"/>
    <col min="56" max="56" width="11.42578125" style="6" bestFit="1" customWidth="1"/>
    <col min="57" max="57" width="11.42578125" style="67" customWidth="1"/>
    <col min="58" max="58" width="14.140625" style="106" customWidth="1"/>
    <col min="59" max="59" width="7.140625" style="106" customWidth="1"/>
    <col min="60" max="60" width="6.28515625" style="106" customWidth="1"/>
    <col min="61" max="61" width="20.42578125" style="6" customWidth="1"/>
    <col min="62" max="62" width="16.42578125" style="6" bestFit="1" customWidth="1"/>
    <col min="63" max="63" width="26.85546875" style="6" customWidth="1"/>
    <col min="64" max="64" width="15.140625" style="6" customWidth="1"/>
    <col min="65" max="65" width="18.42578125" style="6" bestFit="1" customWidth="1"/>
    <col min="66" max="66" width="18.28515625" style="6" customWidth="1"/>
    <col min="67" max="67" width="11.42578125" style="6" customWidth="1"/>
    <col min="68" max="68" width="9.42578125" style="6" customWidth="1"/>
    <col min="69" max="69" width="19.42578125" style="6" bestFit="1" customWidth="1"/>
    <col min="70" max="70" width="18.140625" style="6" bestFit="1" customWidth="1"/>
    <col min="71" max="72" width="28.7109375" style="67" customWidth="1"/>
    <col min="73" max="73" width="11.42578125" style="6" customWidth="1"/>
    <col min="74" max="74" width="26.7109375" style="6" bestFit="1" customWidth="1"/>
    <col min="75" max="75" width="16.28515625" style="6" bestFit="1" customWidth="1"/>
    <col min="76" max="76" width="31.28515625" style="6" bestFit="1" customWidth="1"/>
    <col min="77" max="16384" width="11.42578125" style="6"/>
  </cols>
  <sheetData>
    <row r="1" spans="1:104">
      <c r="A1" s="52" t="s">
        <v>50</v>
      </c>
      <c r="C1" s="18" t="s">
        <v>251</v>
      </c>
      <c r="AE1" s="53"/>
    </row>
    <row r="2" spans="1:104">
      <c r="A2" s="54"/>
      <c r="AE2" s="53"/>
      <c r="BK2" s="43"/>
      <c r="BL2" s="44"/>
      <c r="CD2" s="87"/>
    </row>
    <row r="3" spans="1:104">
      <c r="A3" s="52" t="s">
        <v>34</v>
      </c>
      <c r="AE3" s="53"/>
      <c r="BK3" s="42"/>
      <c r="CD3" s="87"/>
    </row>
    <row r="4" spans="1:104" ht="17.25" customHeight="1">
      <c r="A4" s="172" t="s">
        <v>36</v>
      </c>
      <c r="B4" s="172"/>
      <c r="C4" s="27"/>
      <c r="D4" s="173" t="s">
        <v>29</v>
      </c>
      <c r="E4" s="173"/>
      <c r="F4" s="173"/>
      <c r="G4" s="173"/>
      <c r="H4" s="173"/>
      <c r="I4" s="173"/>
      <c r="J4" s="173"/>
      <c r="K4" s="27"/>
      <c r="L4" s="174" t="s">
        <v>28</v>
      </c>
      <c r="M4" s="174"/>
      <c r="N4" s="174"/>
      <c r="O4" s="174"/>
      <c r="P4" s="174"/>
      <c r="Q4" s="174"/>
      <c r="R4" s="174"/>
      <c r="S4" s="1"/>
      <c r="T4" s="176" t="s">
        <v>27</v>
      </c>
      <c r="U4" s="176"/>
      <c r="V4" s="176"/>
      <c r="W4" s="176"/>
      <c r="X4" s="7"/>
      <c r="Y4" s="177" t="s">
        <v>96</v>
      </c>
      <c r="Z4" s="177"/>
      <c r="AA4" s="177"/>
      <c r="AB4" s="177"/>
      <c r="AC4" s="177"/>
      <c r="AD4" s="177"/>
      <c r="AE4" s="53"/>
      <c r="AF4" s="129" t="s">
        <v>235</v>
      </c>
      <c r="AG4" s="35"/>
      <c r="AH4" s="35"/>
      <c r="AI4" s="48"/>
      <c r="AJ4" s="35"/>
      <c r="AK4" s="35"/>
      <c r="AL4" s="35"/>
      <c r="AM4" s="55"/>
      <c r="AN4" s="55"/>
      <c r="AO4" s="55"/>
      <c r="AP4" s="21"/>
      <c r="AQ4" s="178" t="s">
        <v>45</v>
      </c>
      <c r="AR4" s="178"/>
      <c r="AS4" s="178"/>
      <c r="AT4" s="178"/>
      <c r="AU4" s="68"/>
      <c r="AX4" s="179" t="s">
        <v>79</v>
      </c>
      <c r="AY4" s="179"/>
      <c r="AZ4" s="179"/>
      <c r="BA4" s="179"/>
      <c r="BB4" s="179"/>
      <c r="BC4" s="179"/>
      <c r="BD4" s="179"/>
      <c r="BE4" s="171"/>
      <c r="BF4" s="67"/>
      <c r="BJ4" s="175" t="s">
        <v>245</v>
      </c>
      <c r="BK4" s="175"/>
      <c r="BL4" s="175"/>
      <c r="BM4" s="175"/>
      <c r="BN4" s="175"/>
      <c r="BO4" s="175"/>
      <c r="BP4" s="175"/>
      <c r="CD4" s="87"/>
    </row>
    <row r="5" spans="1:104" ht="15.75" thickBot="1">
      <c r="A5" s="172"/>
      <c r="B5" s="172"/>
      <c r="C5" s="27"/>
      <c r="D5" s="173"/>
      <c r="E5" s="173"/>
      <c r="F5" s="173"/>
      <c r="G5" s="173"/>
      <c r="H5" s="173"/>
      <c r="I5" s="173"/>
      <c r="J5" s="173"/>
      <c r="K5" s="27"/>
      <c r="L5" s="174"/>
      <c r="M5" s="174"/>
      <c r="N5" s="174"/>
      <c r="O5" s="174"/>
      <c r="P5" s="174"/>
      <c r="Q5" s="174"/>
      <c r="R5" s="174"/>
      <c r="T5" s="176"/>
      <c r="U5" s="176"/>
      <c r="V5" s="176"/>
      <c r="W5" s="176"/>
      <c r="Y5" s="177"/>
      <c r="Z5" s="177"/>
      <c r="AA5" s="177"/>
      <c r="AB5" s="177"/>
      <c r="AC5" s="177"/>
      <c r="AD5" s="177"/>
      <c r="AE5" s="53"/>
      <c r="AF5" s="180" t="s">
        <v>41</v>
      </c>
      <c r="AG5" s="180"/>
      <c r="AH5" s="36" t="s">
        <v>42</v>
      </c>
      <c r="AI5" s="49"/>
      <c r="AJ5" s="47"/>
      <c r="AK5" s="47"/>
      <c r="AL5" s="88" t="s">
        <v>43</v>
      </c>
      <c r="AM5" s="88"/>
      <c r="AN5" s="181" t="s">
        <v>44</v>
      </c>
      <c r="AO5" s="181"/>
      <c r="AP5" s="22"/>
      <c r="AQ5" s="178"/>
      <c r="AR5" s="178"/>
      <c r="AS5" s="178"/>
      <c r="AT5" s="178"/>
      <c r="AU5" s="53"/>
      <c r="AX5" s="179"/>
      <c r="AY5" s="179"/>
      <c r="AZ5" s="179"/>
      <c r="BA5" s="179"/>
      <c r="BB5" s="179"/>
      <c r="BC5" s="179"/>
      <c r="BD5" s="179"/>
      <c r="BE5" s="171"/>
      <c r="BF5" s="67"/>
      <c r="BJ5" s="175"/>
      <c r="BK5" s="175"/>
      <c r="BL5" s="175"/>
      <c r="BM5" s="175"/>
      <c r="BN5" s="175"/>
      <c r="BO5" s="175"/>
      <c r="BP5" s="175"/>
      <c r="CA5" s="87"/>
    </row>
    <row r="6" spans="1:104" s="58" customFormat="1" ht="65.25" thickTop="1" thickBot="1">
      <c r="A6" s="19" t="s">
        <v>37</v>
      </c>
      <c r="B6" s="19" t="s">
        <v>0</v>
      </c>
      <c r="C6" s="20" t="s">
        <v>246</v>
      </c>
      <c r="D6" s="8" t="s">
        <v>1</v>
      </c>
      <c r="E6" s="8" t="s">
        <v>2</v>
      </c>
      <c r="F6" s="8" t="s">
        <v>3</v>
      </c>
      <c r="G6" s="8" t="s">
        <v>55</v>
      </c>
      <c r="H6" s="8" t="s">
        <v>7</v>
      </c>
      <c r="I6" s="8" t="s">
        <v>8</v>
      </c>
      <c r="J6" s="8" t="s">
        <v>11</v>
      </c>
      <c r="K6" s="3"/>
      <c r="L6" s="161" t="s">
        <v>57</v>
      </c>
      <c r="M6" s="161" t="s">
        <v>5</v>
      </c>
      <c r="N6" s="161" t="s">
        <v>26</v>
      </c>
      <c r="O6" s="9" t="s">
        <v>4</v>
      </c>
      <c r="P6" s="9" t="s">
        <v>9</v>
      </c>
      <c r="Q6" s="9" t="s">
        <v>10</v>
      </c>
      <c r="R6" s="9" t="s">
        <v>6</v>
      </c>
      <c r="S6" s="3"/>
      <c r="T6" s="10" t="s">
        <v>58</v>
      </c>
      <c r="U6" s="10" t="s">
        <v>59</v>
      </c>
      <c r="V6" s="56" t="s">
        <v>97</v>
      </c>
      <c r="W6" s="57" t="s">
        <v>60</v>
      </c>
      <c r="Y6" s="11" t="s">
        <v>63</v>
      </c>
      <c r="Z6" s="12" t="s">
        <v>31</v>
      </c>
      <c r="AA6" s="12" t="s">
        <v>32</v>
      </c>
      <c r="AB6" s="13" t="s">
        <v>64</v>
      </c>
      <c r="AC6" s="14" t="s">
        <v>30</v>
      </c>
      <c r="AD6" s="15" t="s">
        <v>33</v>
      </c>
      <c r="AE6" s="69" t="s">
        <v>238</v>
      </c>
      <c r="AF6" s="130" t="s">
        <v>236</v>
      </c>
      <c r="AG6" s="16" t="s">
        <v>67</v>
      </c>
      <c r="AH6" s="16" t="s">
        <v>68</v>
      </c>
      <c r="AI6" s="3"/>
      <c r="AJ6" s="17" t="s">
        <v>75</v>
      </c>
      <c r="AK6" s="17" t="s">
        <v>78</v>
      </c>
      <c r="AL6" s="5" t="s">
        <v>98</v>
      </c>
      <c r="AM6" s="62" t="s">
        <v>39</v>
      </c>
      <c r="AN6" s="5" t="s">
        <v>99</v>
      </c>
      <c r="AO6" s="62" t="s">
        <v>38</v>
      </c>
      <c r="AP6" s="23"/>
      <c r="AQ6" s="79" t="s">
        <v>33</v>
      </c>
      <c r="AR6" s="24" t="s">
        <v>214</v>
      </c>
      <c r="AS6" s="24" t="s">
        <v>215</v>
      </c>
      <c r="AT6" s="59" t="s">
        <v>40</v>
      </c>
      <c r="AU6" s="69" t="s">
        <v>240</v>
      </c>
      <c r="AV6" s="91"/>
      <c r="AW6" s="91"/>
      <c r="AX6" s="41" t="s">
        <v>100</v>
      </c>
      <c r="AY6" s="41" t="s">
        <v>2</v>
      </c>
      <c r="AZ6" s="41" t="s">
        <v>3</v>
      </c>
      <c r="BA6" s="41" t="s">
        <v>55</v>
      </c>
      <c r="BB6" s="41" t="s">
        <v>8</v>
      </c>
      <c r="BC6" s="41" t="s">
        <v>75</v>
      </c>
      <c r="BD6" s="60" t="s">
        <v>40</v>
      </c>
      <c r="BE6" s="69" t="s">
        <v>241</v>
      </c>
      <c r="BF6" s="69" t="s">
        <v>242</v>
      </c>
      <c r="BG6" s="155"/>
      <c r="BH6" s="155"/>
      <c r="BI6" s="157" t="s">
        <v>244</v>
      </c>
      <c r="BJ6" s="41" t="s">
        <v>100</v>
      </c>
      <c r="BK6" s="41" t="s">
        <v>2</v>
      </c>
      <c r="BL6" s="41" t="s">
        <v>3</v>
      </c>
      <c r="BM6" s="41" t="s">
        <v>55</v>
      </c>
      <c r="BN6" s="41" t="s">
        <v>8</v>
      </c>
      <c r="BO6" s="41" t="s">
        <v>75</v>
      </c>
      <c r="BP6" s="60" t="s">
        <v>40</v>
      </c>
      <c r="BQ6" s="69" t="s">
        <v>243</v>
      </c>
      <c r="BR6" s="61" t="s">
        <v>237</v>
      </c>
      <c r="BS6" s="61"/>
      <c r="BT6" s="61"/>
      <c r="BU6" s="61"/>
      <c r="BV6" s="61"/>
      <c r="BW6" s="61"/>
      <c r="BX6" s="61"/>
      <c r="BY6" s="61"/>
      <c r="BZ6" s="61"/>
      <c r="CA6" s="87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</row>
    <row r="7" spans="1:104" s="87" customFormat="1" ht="17.25" hidden="1" customHeight="1" thickTop="1" thickBot="1">
      <c r="A7" s="68">
        <v>1643</v>
      </c>
      <c r="B7" s="7" t="s">
        <v>138</v>
      </c>
      <c r="C7" s="2"/>
      <c r="D7" s="67" t="s">
        <v>112</v>
      </c>
      <c r="E7" s="128" t="s">
        <v>148</v>
      </c>
      <c r="F7" s="65" t="s">
        <v>185</v>
      </c>
      <c r="G7" s="65" t="s">
        <v>186</v>
      </c>
      <c r="H7" s="4" t="s">
        <v>17</v>
      </c>
      <c r="I7" s="7" t="s">
        <v>18</v>
      </c>
      <c r="J7" s="7" t="s">
        <v>174</v>
      </c>
      <c r="K7" s="2"/>
      <c r="L7" s="162" t="s">
        <v>205</v>
      </c>
      <c r="M7" s="162" t="s">
        <v>205</v>
      </c>
      <c r="N7" s="162" t="s">
        <v>205</v>
      </c>
      <c r="O7" s="68" t="s">
        <v>15</v>
      </c>
      <c r="P7" s="68">
        <v>72</v>
      </c>
      <c r="Q7" s="66" t="s">
        <v>89</v>
      </c>
      <c r="R7" s="66" t="s">
        <v>16</v>
      </c>
      <c r="S7" s="4"/>
      <c r="T7" s="82">
        <v>19</v>
      </c>
      <c r="U7" s="4" t="s">
        <v>87</v>
      </c>
      <c r="V7" s="66">
        <f>VLOOKUP(U7,Tables!M$5:O$8,3,FALSE)</f>
        <v>1</v>
      </c>
      <c r="W7" s="66">
        <f t="shared" ref="W7:W37" si="0">T7*V7</f>
        <v>19</v>
      </c>
      <c r="X7" s="6"/>
      <c r="Y7" s="71" t="str">
        <f>O7</f>
        <v>EC50</v>
      </c>
      <c r="Z7" s="71">
        <f>VLOOKUP(Y7,Tables!C$5:D$19,2,FALSE)</f>
        <v>5</v>
      </c>
      <c r="AA7" s="72">
        <f>W7/Z7</f>
        <v>3.8</v>
      </c>
      <c r="AB7" s="73" t="str">
        <f>R7</f>
        <v>Chronic</v>
      </c>
      <c r="AC7" s="71">
        <f>VLOOKUP(AB7,Tables!C$22:D$23,2,FALSE)</f>
        <v>1</v>
      </c>
      <c r="AD7" s="74">
        <f>AA7/AC7</f>
        <v>3.8</v>
      </c>
      <c r="AE7" s="117" t="s">
        <v>239</v>
      </c>
      <c r="AF7" s="131" t="str">
        <f>E7</f>
        <v>Achnanthes brevipes</v>
      </c>
      <c r="AG7" s="83" t="str">
        <f>O7</f>
        <v>EC50</v>
      </c>
      <c r="AH7" s="83" t="str">
        <f>R7</f>
        <v>Chronic</v>
      </c>
      <c r="AI7" s="83"/>
      <c r="AJ7" s="71">
        <f>VLOOKUP(SUM(Z7,AC7),Tables!J$5:K$10,2,FALSE)</f>
        <v>2</v>
      </c>
      <c r="AK7" s="75" t="str">
        <f>IF(AJ7=MIN($AJ$7),"YES!!!","Reject")</f>
        <v>YES!!!</v>
      </c>
      <c r="AL7" s="77" t="str">
        <f>N7</f>
        <v>Biomass yield, growth rate, area under the growth curve</v>
      </c>
      <c r="AM7" s="68" t="s">
        <v>105</v>
      </c>
      <c r="AN7" s="66" t="str">
        <f>CONCATENATE(P7," ",Q7)</f>
        <v>72 Hour</v>
      </c>
      <c r="AO7" s="68" t="s">
        <v>106</v>
      </c>
      <c r="AP7" s="2"/>
      <c r="AQ7" s="74">
        <f>AD7</f>
        <v>3.8</v>
      </c>
      <c r="AR7" s="77">
        <f>GEOMEAN(AQ7)</f>
        <v>3.8</v>
      </c>
      <c r="AS7" s="77">
        <f>MIN(AR7)</f>
        <v>3.8</v>
      </c>
      <c r="AT7" s="77">
        <f>MIN(AS7)</f>
        <v>3.8</v>
      </c>
      <c r="AU7" s="117" t="s">
        <v>239</v>
      </c>
      <c r="AV7" s="65"/>
      <c r="AW7" s="65"/>
      <c r="AX7" s="77" t="str">
        <f>H7</f>
        <v>Microalgae</v>
      </c>
      <c r="AY7" s="102" t="str">
        <f>E7</f>
        <v>Achnanthes brevipes</v>
      </c>
      <c r="AZ7" s="77" t="str">
        <f>F7</f>
        <v>Bacillariophyta</v>
      </c>
      <c r="BA7" s="85" t="str">
        <f>G7</f>
        <v>Bacillariophyceae</v>
      </c>
      <c r="BB7" s="85" t="str">
        <f>I7</f>
        <v>Phototroph</v>
      </c>
      <c r="BC7" s="86">
        <f>AJ7</f>
        <v>2</v>
      </c>
      <c r="BD7" s="77">
        <f>AT7</f>
        <v>3.8</v>
      </c>
      <c r="BE7" s="117" t="s">
        <v>239</v>
      </c>
      <c r="BF7" s="117" t="s">
        <v>239</v>
      </c>
      <c r="BG7" s="112"/>
      <c r="BH7" s="112"/>
      <c r="BI7" s="153" t="s">
        <v>80</v>
      </c>
      <c r="BJ7" s="87" t="s">
        <v>17</v>
      </c>
      <c r="BK7" s="133" t="s">
        <v>113</v>
      </c>
      <c r="BL7" s="87" t="s">
        <v>114</v>
      </c>
      <c r="BM7" s="95" t="s">
        <v>183</v>
      </c>
      <c r="BN7" s="95" t="s">
        <v>18</v>
      </c>
      <c r="BO7" s="96">
        <v>1</v>
      </c>
      <c r="BP7" s="87">
        <v>1.31</v>
      </c>
      <c r="BQ7" s="122" t="s">
        <v>239</v>
      </c>
      <c r="BR7" s="126" t="s">
        <v>231</v>
      </c>
      <c r="BY7" s="87" t="s">
        <v>107</v>
      </c>
      <c r="BZ7" s="87" t="s">
        <v>107</v>
      </c>
      <c r="CB7" s="87" t="s">
        <v>107</v>
      </c>
      <c r="CC7" s="87" t="s">
        <v>107</v>
      </c>
      <c r="CD7" s="87" t="s">
        <v>107</v>
      </c>
      <c r="CE7" s="87" t="s">
        <v>107</v>
      </c>
      <c r="CF7" s="87" t="s">
        <v>107</v>
      </c>
      <c r="CG7" s="87" t="s">
        <v>107</v>
      </c>
      <c r="CH7" s="87" t="s">
        <v>107</v>
      </c>
      <c r="CI7" s="87" t="s">
        <v>107</v>
      </c>
      <c r="CJ7" s="87" t="s">
        <v>107</v>
      </c>
      <c r="CK7" s="87" t="s">
        <v>107</v>
      </c>
      <c r="CL7" s="87" t="s">
        <v>107</v>
      </c>
      <c r="CM7" s="87" t="s">
        <v>107</v>
      </c>
      <c r="CN7" s="87" t="s">
        <v>107</v>
      </c>
      <c r="CO7" s="87" t="s">
        <v>107</v>
      </c>
      <c r="CP7" s="87" t="s">
        <v>107</v>
      </c>
      <c r="CQ7" s="87" t="s">
        <v>107</v>
      </c>
      <c r="CR7" s="87" t="s">
        <v>107</v>
      </c>
      <c r="CS7" s="87" t="s">
        <v>107</v>
      </c>
      <c r="CT7" s="87" t="s">
        <v>107</v>
      </c>
      <c r="CU7" s="87" t="s">
        <v>107</v>
      </c>
      <c r="CV7" s="87" t="s">
        <v>107</v>
      </c>
      <c r="CW7" s="87" t="s">
        <v>107</v>
      </c>
      <c r="CX7" s="87" t="s">
        <v>107</v>
      </c>
    </row>
    <row r="8" spans="1:104" s="50" customFormat="1" ht="16.5" hidden="1" thickTop="1" thickBot="1">
      <c r="A8" s="40"/>
      <c r="B8" s="40"/>
      <c r="C8" s="34"/>
      <c r="D8" s="34"/>
      <c r="E8" s="168"/>
      <c r="F8" s="34"/>
      <c r="G8" s="34"/>
      <c r="H8" s="40"/>
      <c r="I8" s="40"/>
      <c r="J8" s="40"/>
      <c r="K8" s="34"/>
      <c r="L8" s="163"/>
      <c r="M8" s="163"/>
      <c r="N8" s="163"/>
      <c r="O8" s="40"/>
      <c r="P8" s="40"/>
      <c r="Q8" s="40"/>
      <c r="R8" s="40"/>
      <c r="S8" s="40"/>
      <c r="T8" s="40"/>
      <c r="U8" s="40"/>
      <c r="V8" s="70"/>
      <c r="W8" s="70"/>
      <c r="X8" s="34"/>
      <c r="Y8" s="40"/>
      <c r="Z8" s="40"/>
      <c r="AA8" s="70"/>
      <c r="AB8" s="40"/>
      <c r="AC8" s="40"/>
      <c r="AD8" s="70"/>
      <c r="AE8" s="40"/>
      <c r="AF8" s="100"/>
      <c r="AG8" s="81"/>
      <c r="AH8" s="81"/>
      <c r="AI8" s="34"/>
      <c r="AJ8" s="34"/>
      <c r="AK8" s="34"/>
      <c r="AL8" s="34"/>
      <c r="AM8" s="40"/>
      <c r="AN8" s="40"/>
      <c r="AO8" s="40"/>
      <c r="AP8" s="34"/>
      <c r="AQ8" s="70"/>
      <c r="AR8" s="34"/>
      <c r="AS8" s="34"/>
      <c r="AT8" s="34"/>
      <c r="AU8" s="40"/>
      <c r="AX8" s="90"/>
      <c r="AY8" s="100"/>
      <c r="AZ8" s="34"/>
      <c r="BA8" s="34"/>
      <c r="BB8" s="34"/>
      <c r="BC8" s="34"/>
      <c r="BD8" s="34"/>
      <c r="BE8" s="89"/>
      <c r="BF8" s="89"/>
      <c r="BI8" s="154" t="s">
        <v>112</v>
      </c>
      <c r="BJ8" s="87" t="s">
        <v>85</v>
      </c>
      <c r="BK8" s="135" t="s">
        <v>86</v>
      </c>
      <c r="BL8" s="87" t="s">
        <v>83</v>
      </c>
      <c r="BM8" s="95" t="s">
        <v>84</v>
      </c>
      <c r="BN8" s="95" t="s">
        <v>18</v>
      </c>
      <c r="BO8" s="96">
        <v>1</v>
      </c>
      <c r="BP8" s="87">
        <v>2</v>
      </c>
      <c r="BQ8" s="122" t="s">
        <v>239</v>
      </c>
      <c r="BR8" s="126" t="s">
        <v>232</v>
      </c>
      <c r="CA8" s="87"/>
    </row>
    <row r="9" spans="1:104" s="2" customFormat="1" ht="16.5" hidden="1" thickTop="1" thickBot="1">
      <c r="A9" s="68">
        <v>24239</v>
      </c>
      <c r="B9" s="7" t="s">
        <v>124</v>
      </c>
      <c r="D9" s="6" t="s">
        <v>112</v>
      </c>
      <c r="E9" s="128" t="s">
        <v>101</v>
      </c>
      <c r="F9" s="65" t="s">
        <v>88</v>
      </c>
      <c r="G9" s="65" t="s">
        <v>102</v>
      </c>
      <c r="H9" s="4" t="s">
        <v>103</v>
      </c>
      <c r="I9" s="66" t="s">
        <v>56</v>
      </c>
      <c r="J9" s="7" t="s">
        <v>104</v>
      </c>
      <c r="L9" s="162" t="s">
        <v>51</v>
      </c>
      <c r="M9" s="162" t="s">
        <v>51</v>
      </c>
      <c r="N9" s="162" t="s">
        <v>51</v>
      </c>
      <c r="O9" s="68" t="s">
        <v>22</v>
      </c>
      <c r="P9" s="68">
        <v>28</v>
      </c>
      <c r="Q9" s="68" t="s">
        <v>184</v>
      </c>
      <c r="R9" s="66" t="s">
        <v>16</v>
      </c>
      <c r="S9" s="4"/>
      <c r="T9" s="82">
        <v>97</v>
      </c>
      <c r="U9" s="4" t="s">
        <v>87</v>
      </c>
      <c r="V9" s="82">
        <f>VLOOKUP(U9,Tables!M$5:O$8,3,FALSE)</f>
        <v>1</v>
      </c>
      <c r="W9" s="66">
        <f t="shared" si="0"/>
        <v>97</v>
      </c>
      <c r="X9" s="6"/>
      <c r="Y9" s="71" t="str">
        <f>O9</f>
        <v>LOEC</v>
      </c>
      <c r="Z9" s="71">
        <f>VLOOKUP(Y9,Tables!C$5:D$19,2,FALSE)</f>
        <v>2.5</v>
      </c>
      <c r="AA9" s="72">
        <f>W9/Z9</f>
        <v>38.799999999999997</v>
      </c>
      <c r="AB9" s="73" t="str">
        <f>R9</f>
        <v>Chronic</v>
      </c>
      <c r="AC9" s="71">
        <f>VLOOKUP(AB9,Tables!C$22:D$23,2,FALSE)</f>
        <v>1</v>
      </c>
      <c r="AD9" s="74">
        <f>AA9/AC9</f>
        <v>38.799999999999997</v>
      </c>
      <c r="AE9" s="117" t="s">
        <v>239</v>
      </c>
      <c r="AF9" s="131" t="str">
        <f>E9</f>
        <v>Americamysis bahia</v>
      </c>
      <c r="AG9" s="83" t="str">
        <f>O9</f>
        <v>LOEC</v>
      </c>
      <c r="AH9" s="83" t="str">
        <f>R9</f>
        <v>Chronic</v>
      </c>
      <c r="AI9" s="83"/>
      <c r="AJ9" s="71">
        <f>VLOOKUP(SUM(Z9,AC9),Tables!J$5:K$10,2,FALSE)</f>
        <v>2</v>
      </c>
      <c r="AK9" s="63" t="str">
        <f>IF(AJ9=MIN($AJ$9:$AJ$11),"YES!!!","Reject")</f>
        <v>Reject</v>
      </c>
      <c r="AL9" s="77"/>
      <c r="AM9" s="68"/>
      <c r="AN9" s="68"/>
      <c r="AO9" s="68"/>
      <c r="AQ9" s="78"/>
      <c r="AR9" s="6"/>
      <c r="AS9" s="6"/>
      <c r="AT9" s="6"/>
      <c r="AU9" s="117" t="s">
        <v>239</v>
      </c>
      <c r="AV9" s="65"/>
      <c r="AW9" s="65"/>
      <c r="AX9" s="77"/>
      <c r="AY9" s="102"/>
      <c r="AZ9" s="77"/>
      <c r="BA9" s="84"/>
      <c r="BB9" s="84"/>
      <c r="BC9" s="77"/>
      <c r="BD9" s="77"/>
      <c r="BE9" s="77"/>
      <c r="BF9" s="87"/>
      <c r="BG9" s="87"/>
      <c r="BH9" s="87"/>
      <c r="BI9" s="106"/>
      <c r="BJ9" s="87" t="s">
        <v>17</v>
      </c>
      <c r="BK9" s="135" t="s">
        <v>158</v>
      </c>
      <c r="BL9" s="87" t="s">
        <v>81</v>
      </c>
      <c r="BM9" s="95" t="s">
        <v>180</v>
      </c>
      <c r="BN9" s="95" t="s">
        <v>18</v>
      </c>
      <c r="BO9" s="96">
        <v>1</v>
      </c>
      <c r="BP9" s="87">
        <v>1.1399999999999999</v>
      </c>
      <c r="BQ9" s="122" t="s">
        <v>239</v>
      </c>
      <c r="BR9" s="126" t="s">
        <v>232</v>
      </c>
      <c r="CA9"/>
    </row>
    <row r="10" spans="1:104" s="65" customFormat="1" ht="16.5" hidden="1" thickTop="1" thickBot="1">
      <c r="A10" s="68">
        <v>24239</v>
      </c>
      <c r="B10" s="7" t="s">
        <v>124</v>
      </c>
      <c r="C10" s="2"/>
      <c r="D10" s="6" t="s">
        <v>112</v>
      </c>
      <c r="E10" s="128" t="s">
        <v>101</v>
      </c>
      <c r="F10" s="65" t="s">
        <v>88</v>
      </c>
      <c r="G10" s="65" t="s">
        <v>102</v>
      </c>
      <c r="H10" s="4" t="s">
        <v>103</v>
      </c>
      <c r="I10" s="66" t="s">
        <v>56</v>
      </c>
      <c r="J10" s="7" t="s">
        <v>104</v>
      </c>
      <c r="K10" s="2"/>
      <c r="L10" s="162" t="s">
        <v>51</v>
      </c>
      <c r="M10" s="162" t="s">
        <v>51</v>
      </c>
      <c r="N10" s="162" t="s">
        <v>51</v>
      </c>
      <c r="O10" s="68" t="s">
        <v>109</v>
      </c>
      <c r="P10" s="68">
        <v>28</v>
      </c>
      <c r="Q10" s="68" t="s">
        <v>184</v>
      </c>
      <c r="R10" s="66" t="s">
        <v>16</v>
      </c>
      <c r="S10" s="4"/>
      <c r="T10" s="82">
        <v>50</v>
      </c>
      <c r="U10" s="4" t="s">
        <v>87</v>
      </c>
      <c r="V10" s="82">
        <f>VLOOKUP(U10,Tables!M$5:O$8,3,FALSE)</f>
        <v>1</v>
      </c>
      <c r="W10" s="66">
        <f t="shared" si="0"/>
        <v>50</v>
      </c>
      <c r="X10" s="6"/>
      <c r="Y10" s="71" t="str">
        <f>O10</f>
        <v>NOEL</v>
      </c>
      <c r="Z10" s="71">
        <f>VLOOKUP(Y10,Tables!C$5:D$19,2,FALSE)</f>
        <v>1</v>
      </c>
      <c r="AA10" s="72">
        <f>W10/Z10</f>
        <v>50</v>
      </c>
      <c r="AB10" s="73" t="str">
        <f>R10</f>
        <v>Chronic</v>
      </c>
      <c r="AC10" s="71">
        <f>VLOOKUP(AB10,Tables!C$22:D$23,2,FALSE)</f>
        <v>1</v>
      </c>
      <c r="AD10" s="74">
        <f>AA10/AC10</f>
        <v>50</v>
      </c>
      <c r="AE10" s="117" t="s">
        <v>239</v>
      </c>
      <c r="AF10" s="131" t="str">
        <f>E10</f>
        <v>Americamysis bahia</v>
      </c>
      <c r="AG10" s="83" t="str">
        <f>O10</f>
        <v>NOEL</v>
      </c>
      <c r="AH10" s="83" t="str">
        <f>R10</f>
        <v>Chronic</v>
      </c>
      <c r="AI10" s="83"/>
      <c r="AJ10" s="71">
        <f>VLOOKUP(SUM(Z10,AC10),Tables!J$5:K$10,2,FALSE)</f>
        <v>1</v>
      </c>
      <c r="AK10" s="63" t="str">
        <f>IF(AJ10=MIN($AJ$9:$AJ$11),"YES!!!","Reject")</f>
        <v>YES!!!</v>
      </c>
      <c r="AL10" s="77" t="str">
        <f>N10</f>
        <v>Mortality</v>
      </c>
      <c r="AM10" s="68" t="s">
        <v>105</v>
      </c>
      <c r="AN10" s="66" t="str">
        <f>CONCATENATE(P10," ",Q10)</f>
        <v>28 Day</v>
      </c>
      <c r="AO10" s="68" t="s">
        <v>106</v>
      </c>
      <c r="AP10" s="2"/>
      <c r="AQ10" s="74">
        <f>AD10</f>
        <v>50</v>
      </c>
      <c r="AR10" s="77">
        <f>GEOMEAN(AQ10)</f>
        <v>50</v>
      </c>
      <c r="AS10" s="77">
        <f>MIN(AR10)</f>
        <v>50</v>
      </c>
      <c r="AT10" s="77">
        <f>MIN(AS10)</f>
        <v>50</v>
      </c>
      <c r="AU10" s="117" t="s">
        <v>239</v>
      </c>
      <c r="AX10" s="77" t="str">
        <f>H10</f>
        <v>Macroinvertebrate</v>
      </c>
      <c r="AY10" s="102" t="str">
        <f>E10</f>
        <v>Americamysis bahia</v>
      </c>
      <c r="AZ10" s="77" t="str">
        <f>F10</f>
        <v>Arthropoda</v>
      </c>
      <c r="BA10" s="97" t="str">
        <f>G10</f>
        <v>Malacostraca</v>
      </c>
      <c r="BB10" s="97" t="str">
        <f>I10</f>
        <v>Heterotroph</v>
      </c>
      <c r="BC10" s="86">
        <f>AJ10</f>
        <v>1</v>
      </c>
      <c r="BD10" s="77">
        <f>AT10</f>
        <v>50</v>
      </c>
      <c r="BE10" s="117" t="s">
        <v>239</v>
      </c>
      <c r="BF10" s="117" t="s">
        <v>239</v>
      </c>
      <c r="BG10" s="112"/>
      <c r="BH10" s="112"/>
      <c r="BJ10" s="87" t="s">
        <v>17</v>
      </c>
      <c r="BK10" s="133" t="s">
        <v>148</v>
      </c>
      <c r="BL10" s="87" t="s">
        <v>185</v>
      </c>
      <c r="BM10" s="95" t="s">
        <v>186</v>
      </c>
      <c r="BN10" s="95" t="s">
        <v>18</v>
      </c>
      <c r="BO10" s="96">
        <v>2</v>
      </c>
      <c r="BP10" s="87">
        <v>3.8</v>
      </c>
      <c r="BQ10" s="122" t="s">
        <v>239</v>
      </c>
      <c r="BR10" s="126" t="s">
        <v>233</v>
      </c>
      <c r="CA10"/>
    </row>
    <row r="11" spans="1:104" s="2" customFormat="1" ht="16.5" hidden="1" thickTop="1" thickBot="1">
      <c r="A11" s="68">
        <v>1658</v>
      </c>
      <c r="B11" s="7" t="s">
        <v>151</v>
      </c>
      <c r="D11" s="6" t="s">
        <v>112</v>
      </c>
      <c r="E11" s="128" t="s">
        <v>101</v>
      </c>
      <c r="F11" s="65" t="s">
        <v>88</v>
      </c>
      <c r="G11" s="65" t="s">
        <v>102</v>
      </c>
      <c r="H11" s="4" t="s">
        <v>103</v>
      </c>
      <c r="I11" s="66" t="s">
        <v>56</v>
      </c>
      <c r="J11" s="7" t="s">
        <v>127</v>
      </c>
      <c r="L11" s="162" t="s">
        <v>51</v>
      </c>
      <c r="M11" s="162" t="s">
        <v>51</v>
      </c>
      <c r="N11" s="162" t="s">
        <v>51</v>
      </c>
      <c r="O11" s="68" t="s">
        <v>20</v>
      </c>
      <c r="P11" s="7">
        <v>96</v>
      </c>
      <c r="Q11" s="66" t="s">
        <v>89</v>
      </c>
      <c r="R11" s="66" t="s">
        <v>48</v>
      </c>
      <c r="S11" s="4"/>
      <c r="T11" s="82">
        <v>2.2999999999999998</v>
      </c>
      <c r="U11" s="4" t="s">
        <v>90</v>
      </c>
      <c r="V11" s="82">
        <f>VLOOKUP(U11,Tables!M$5:O$8,3,FALSE)</f>
        <v>1000</v>
      </c>
      <c r="W11" s="66">
        <f t="shared" si="0"/>
        <v>2300</v>
      </c>
      <c r="X11" s="6"/>
      <c r="Y11" s="71" t="str">
        <f>O11</f>
        <v>LC50</v>
      </c>
      <c r="Z11" s="71">
        <f>VLOOKUP(Y11,Tables!C$5:D$19,2,FALSE)</f>
        <v>5</v>
      </c>
      <c r="AA11" s="72">
        <f>W11/Z11</f>
        <v>460</v>
      </c>
      <c r="AB11" s="73" t="str">
        <f>R11</f>
        <v>Acute</v>
      </c>
      <c r="AC11" s="71">
        <f>VLOOKUP(AB11,Tables!C$22:D$23,2,FALSE)</f>
        <v>2</v>
      </c>
      <c r="AD11" s="74">
        <f>AA11/AC11</f>
        <v>230</v>
      </c>
      <c r="AE11" s="117" t="s">
        <v>239</v>
      </c>
      <c r="AF11" s="131" t="str">
        <f>E11</f>
        <v>Americamysis bahia</v>
      </c>
      <c r="AG11" s="83" t="str">
        <f>O11</f>
        <v>LC50</v>
      </c>
      <c r="AH11" s="83" t="str">
        <f>R11</f>
        <v>Acute</v>
      </c>
      <c r="AI11" s="83"/>
      <c r="AJ11" s="71">
        <f>VLOOKUP(SUM(Z11,AC11),Tables!J$5:K$10,2,FALSE)</f>
        <v>4</v>
      </c>
      <c r="AK11" s="63" t="str">
        <f>IF(AJ11=MIN($AJ$9:$AJ$11),"YES!!!","Reject")</f>
        <v>Reject</v>
      </c>
      <c r="AL11" s="77"/>
      <c r="AM11" s="68"/>
      <c r="AN11" s="68"/>
      <c r="AO11" s="68"/>
      <c r="AQ11" s="78"/>
      <c r="AR11" s="6"/>
      <c r="AS11" s="6"/>
      <c r="AT11" s="6"/>
      <c r="AU11" s="117" t="s">
        <v>239</v>
      </c>
      <c r="AV11" s="65"/>
      <c r="AW11" s="65"/>
      <c r="AX11" s="6"/>
      <c r="AY11" s="99"/>
      <c r="AZ11" s="6"/>
      <c r="BA11" s="6"/>
      <c r="BB11" s="6"/>
      <c r="BC11" s="6"/>
      <c r="BD11" s="6"/>
      <c r="BE11" s="67"/>
      <c r="BF11" s="106"/>
      <c r="BG11" s="106"/>
      <c r="BH11" s="106"/>
      <c r="BJ11" s="87" t="s">
        <v>17</v>
      </c>
      <c r="BK11" s="135" t="s">
        <v>115</v>
      </c>
      <c r="BL11" s="87" t="s">
        <v>81</v>
      </c>
      <c r="BM11" s="95" t="s">
        <v>82</v>
      </c>
      <c r="BN11" s="95" t="s">
        <v>18</v>
      </c>
      <c r="BO11" s="96">
        <v>2</v>
      </c>
      <c r="BP11" s="87">
        <v>0.06</v>
      </c>
      <c r="BQ11" s="122" t="s">
        <v>239</v>
      </c>
      <c r="BR11" s="126" t="s">
        <v>233</v>
      </c>
      <c r="CA11"/>
    </row>
    <row r="12" spans="1:104" s="65" customFormat="1" ht="16.5" hidden="1" thickTop="1" thickBot="1">
      <c r="A12" s="40"/>
      <c r="B12" s="40"/>
      <c r="C12" s="34"/>
      <c r="D12" s="34"/>
      <c r="E12" s="168"/>
      <c r="F12" s="34"/>
      <c r="G12" s="34"/>
      <c r="H12" s="40"/>
      <c r="I12" s="40"/>
      <c r="J12" s="40"/>
      <c r="K12" s="34"/>
      <c r="L12" s="163"/>
      <c r="M12" s="163"/>
      <c r="N12" s="163"/>
      <c r="O12" s="40"/>
      <c r="P12" s="40"/>
      <c r="Q12" s="40"/>
      <c r="R12" s="40"/>
      <c r="S12" s="40"/>
      <c r="T12" s="40"/>
      <c r="U12" s="40"/>
      <c r="V12" s="70"/>
      <c r="W12" s="70"/>
      <c r="X12" s="34"/>
      <c r="Y12" s="40"/>
      <c r="Z12" s="40"/>
      <c r="AA12" s="70"/>
      <c r="AB12" s="40"/>
      <c r="AC12" s="40"/>
      <c r="AD12" s="70"/>
      <c r="AE12" s="40"/>
      <c r="AF12" s="100"/>
      <c r="AG12" s="81"/>
      <c r="AH12" s="81"/>
      <c r="AI12" s="34"/>
      <c r="AJ12" s="34"/>
      <c r="AK12" s="34"/>
      <c r="AL12" s="34"/>
      <c r="AM12" s="40"/>
      <c r="AN12" s="40"/>
      <c r="AO12" s="40"/>
      <c r="AP12" s="34"/>
      <c r="AQ12" s="70"/>
      <c r="AR12" s="34"/>
      <c r="AS12" s="34"/>
      <c r="AT12" s="34"/>
      <c r="AU12" s="40"/>
      <c r="AV12" s="50"/>
      <c r="AW12" s="50"/>
      <c r="AX12" s="90"/>
      <c r="AY12" s="100"/>
      <c r="AZ12" s="34"/>
      <c r="BA12" s="34"/>
      <c r="BB12" s="34"/>
      <c r="BC12" s="34"/>
      <c r="BD12" s="34"/>
      <c r="BE12" s="89"/>
      <c r="BF12" s="89"/>
      <c r="BG12" s="50"/>
      <c r="BH12" s="50"/>
      <c r="BJ12" s="87" t="s">
        <v>17</v>
      </c>
      <c r="BK12" s="135" t="s">
        <v>141</v>
      </c>
      <c r="BL12" s="126" t="s">
        <v>81</v>
      </c>
      <c r="BM12" s="127" t="s">
        <v>180</v>
      </c>
      <c r="BN12" s="95" t="s">
        <v>18</v>
      </c>
      <c r="BO12" s="96">
        <v>2</v>
      </c>
      <c r="BP12" s="87">
        <v>2000</v>
      </c>
      <c r="BQ12" s="122" t="s">
        <v>239</v>
      </c>
      <c r="BR12" s="126" t="s">
        <v>233</v>
      </c>
      <c r="BS12" s="126"/>
      <c r="CA12"/>
    </row>
    <row r="13" spans="1:104" s="65" customFormat="1" ht="16.5" thickTop="1" thickBot="1">
      <c r="A13" s="68">
        <v>1661</v>
      </c>
      <c r="B13" s="7" t="s">
        <v>135</v>
      </c>
      <c r="C13" s="2"/>
      <c r="D13" s="6" t="s">
        <v>80</v>
      </c>
      <c r="E13" s="128" t="s">
        <v>136</v>
      </c>
      <c r="F13" s="65" t="s">
        <v>187</v>
      </c>
      <c r="G13" s="65" t="s">
        <v>188</v>
      </c>
      <c r="H13" s="4" t="s">
        <v>199</v>
      </c>
      <c r="I13" s="66" t="s">
        <v>56</v>
      </c>
      <c r="J13" s="7" t="s">
        <v>174</v>
      </c>
      <c r="K13" s="2"/>
      <c r="L13" s="162" t="s">
        <v>51</v>
      </c>
      <c r="M13" s="162" t="s">
        <v>51</v>
      </c>
      <c r="N13" s="162" t="s">
        <v>51</v>
      </c>
      <c r="O13" s="68" t="s">
        <v>20</v>
      </c>
      <c r="P13" s="7">
        <v>96</v>
      </c>
      <c r="Q13" s="66" t="s">
        <v>89</v>
      </c>
      <c r="R13" s="66" t="s">
        <v>48</v>
      </c>
      <c r="S13" s="4"/>
      <c r="T13" s="82">
        <v>14</v>
      </c>
      <c r="U13" s="82" t="s">
        <v>90</v>
      </c>
      <c r="V13" s="82">
        <f>VLOOKUP(U13,Tables!M$5:O$8,3,FALSE)</f>
        <v>1000</v>
      </c>
      <c r="W13" s="66">
        <f t="shared" si="0"/>
        <v>14000</v>
      </c>
      <c r="X13" s="6"/>
      <c r="Y13" s="71" t="str">
        <f>O13</f>
        <v>LC50</v>
      </c>
      <c r="Z13" s="71">
        <f>VLOOKUP(Y13,Tables!C$5:D$19,2,FALSE)</f>
        <v>5</v>
      </c>
      <c r="AA13" s="72">
        <f>W13/Z13</f>
        <v>2800</v>
      </c>
      <c r="AB13" s="73" t="str">
        <f>R13</f>
        <v>Acute</v>
      </c>
      <c r="AC13" s="71">
        <f>VLOOKUP(AB13,Tables!C$22:D$23,2,FALSE)</f>
        <v>2</v>
      </c>
      <c r="AD13" s="74">
        <f>AA13/AC13</f>
        <v>1400</v>
      </c>
      <c r="AE13" s="117" t="s">
        <v>239</v>
      </c>
      <c r="AF13" s="131" t="str">
        <f>E13</f>
        <v>Carassius auratus</v>
      </c>
      <c r="AG13" s="83" t="str">
        <f>O13</f>
        <v>LC50</v>
      </c>
      <c r="AH13" s="83" t="str">
        <f>R13</f>
        <v>Acute</v>
      </c>
      <c r="AI13" s="83"/>
      <c r="AJ13" s="71">
        <f>VLOOKUP(SUM(Z13,AC13),Tables!J$5:K$10,2,FALSE)</f>
        <v>4</v>
      </c>
      <c r="AK13" s="75" t="str">
        <f>IF(AJ13=MIN($AJ$13),"YES!!!","Reject")</f>
        <v>YES!!!</v>
      </c>
      <c r="AL13" s="77" t="str">
        <f>N13</f>
        <v>Mortality</v>
      </c>
      <c r="AM13" s="68" t="s">
        <v>105</v>
      </c>
      <c r="AN13" s="66" t="str">
        <f>CONCATENATE(P13," ",Q13)</f>
        <v>96 Hour</v>
      </c>
      <c r="AO13" s="68" t="s">
        <v>106</v>
      </c>
      <c r="AP13" s="2"/>
      <c r="AQ13" s="74">
        <f>AD13</f>
        <v>1400</v>
      </c>
      <c r="AR13" s="77">
        <f>GEOMEAN(AQ13)</f>
        <v>1400</v>
      </c>
      <c r="AS13" s="77">
        <f>MIN(AR13)</f>
        <v>1400</v>
      </c>
      <c r="AT13" s="77">
        <f>MIN(AS13)</f>
        <v>1400</v>
      </c>
      <c r="AU13" s="117" t="s">
        <v>239</v>
      </c>
      <c r="AX13" s="77" t="str">
        <f>H13</f>
        <v>Fish</v>
      </c>
      <c r="AY13" s="102" t="str">
        <f>E13</f>
        <v>Carassius auratus</v>
      </c>
      <c r="AZ13" s="77" t="str">
        <f>F13</f>
        <v>Chordata</v>
      </c>
      <c r="BA13" s="97" t="str">
        <f>G13</f>
        <v>Actinopterygii</v>
      </c>
      <c r="BB13" s="97" t="str">
        <f>I13</f>
        <v>Heterotroph</v>
      </c>
      <c r="BC13" s="86">
        <f>AJ13</f>
        <v>4</v>
      </c>
      <c r="BD13" s="77">
        <f>AT13</f>
        <v>1400</v>
      </c>
      <c r="BE13" s="117" t="s">
        <v>239</v>
      </c>
      <c r="BF13" s="117" t="s">
        <v>239</v>
      </c>
      <c r="BG13" s="112"/>
      <c r="BH13" s="112"/>
      <c r="BJ13" s="87" t="s">
        <v>17</v>
      </c>
      <c r="BK13" s="133" t="s">
        <v>116</v>
      </c>
      <c r="BL13" s="87" t="s">
        <v>81</v>
      </c>
      <c r="BM13" s="95" t="s">
        <v>180</v>
      </c>
      <c r="BN13" s="95" t="s">
        <v>18</v>
      </c>
      <c r="BO13" s="96">
        <v>2</v>
      </c>
      <c r="BP13" s="87">
        <v>5.6568542494923797</v>
      </c>
      <c r="BQ13" s="122" t="s">
        <v>239</v>
      </c>
      <c r="BR13" s="126" t="s">
        <v>233</v>
      </c>
      <c r="BS13" s="126"/>
      <c r="CA13"/>
    </row>
    <row r="14" spans="1:104" s="65" customFormat="1" ht="16.5" hidden="1" thickTop="1" thickBot="1">
      <c r="A14" s="40"/>
      <c r="B14" s="40"/>
      <c r="C14" s="34"/>
      <c r="D14" s="34"/>
      <c r="E14" s="168"/>
      <c r="F14" s="34"/>
      <c r="G14" s="34"/>
      <c r="H14" s="40"/>
      <c r="I14" s="40"/>
      <c r="J14" s="40"/>
      <c r="K14" s="34"/>
      <c r="L14" s="163"/>
      <c r="M14" s="163"/>
      <c r="N14" s="163"/>
      <c r="O14" s="40"/>
      <c r="P14" s="40"/>
      <c r="Q14" s="40"/>
      <c r="R14" s="40"/>
      <c r="S14" s="40"/>
      <c r="T14" s="40"/>
      <c r="U14" s="40"/>
      <c r="V14" s="70"/>
      <c r="W14" s="70"/>
      <c r="X14" s="34"/>
      <c r="Y14" s="40"/>
      <c r="Z14" s="40"/>
      <c r="AA14" s="70"/>
      <c r="AB14" s="40"/>
      <c r="AC14" s="40"/>
      <c r="AD14" s="70"/>
      <c r="AE14" s="40"/>
      <c r="AF14" s="100"/>
      <c r="AG14" s="81"/>
      <c r="AH14" s="81"/>
      <c r="AI14" s="34"/>
      <c r="AJ14" s="34"/>
      <c r="AK14" s="34"/>
      <c r="AL14" s="34"/>
      <c r="AM14" s="40"/>
      <c r="AN14" s="40"/>
      <c r="AO14" s="40"/>
      <c r="AP14" s="34"/>
      <c r="AQ14" s="70"/>
      <c r="AR14" s="34"/>
      <c r="AS14" s="34"/>
      <c r="AT14" s="34"/>
      <c r="AU14" s="40"/>
      <c r="AV14" s="50"/>
      <c r="AW14" s="50"/>
      <c r="AX14" s="90"/>
      <c r="AY14" s="100"/>
      <c r="AZ14" s="34"/>
      <c r="BA14" s="34"/>
      <c r="BB14" s="34"/>
      <c r="BC14" s="34"/>
      <c r="BD14" s="34"/>
      <c r="BE14" s="89"/>
      <c r="BF14" s="89"/>
      <c r="BG14" s="50"/>
      <c r="BH14" s="50"/>
      <c r="BJ14" s="87" t="s">
        <v>17</v>
      </c>
      <c r="BK14" s="133" t="s">
        <v>145</v>
      </c>
      <c r="BL14" s="87" t="s">
        <v>190</v>
      </c>
      <c r="BM14" s="95" t="s">
        <v>191</v>
      </c>
      <c r="BN14" s="95" t="s">
        <v>18</v>
      </c>
      <c r="BO14" s="96">
        <v>2</v>
      </c>
      <c r="BP14" s="87">
        <v>2.8</v>
      </c>
      <c r="BQ14" s="122" t="s">
        <v>239</v>
      </c>
      <c r="BR14" s="126" t="s">
        <v>233</v>
      </c>
      <c r="BS14" s="126"/>
      <c r="CA14"/>
    </row>
    <row r="15" spans="1:104" s="65" customFormat="1" ht="31.5" thickTop="1" thickBot="1">
      <c r="A15" s="66">
        <v>603</v>
      </c>
      <c r="B15" s="66">
        <v>20</v>
      </c>
      <c r="C15" s="158" t="s">
        <v>247</v>
      </c>
      <c r="D15" s="66" t="s">
        <v>80</v>
      </c>
      <c r="E15" s="108" t="s">
        <v>121</v>
      </c>
      <c r="F15" s="66" t="s">
        <v>81</v>
      </c>
      <c r="G15" s="66" t="s">
        <v>180</v>
      </c>
      <c r="H15" s="66" t="s">
        <v>17</v>
      </c>
      <c r="I15" s="66" t="s">
        <v>18</v>
      </c>
      <c r="J15" s="66" t="s">
        <v>174</v>
      </c>
      <c r="K15" s="66"/>
      <c r="L15" s="162" t="s">
        <v>221</v>
      </c>
      <c r="M15" s="162" t="s">
        <v>202</v>
      </c>
      <c r="N15" s="166" t="s">
        <v>230</v>
      </c>
      <c r="O15" s="138" t="s">
        <v>15</v>
      </c>
      <c r="P15" s="138">
        <v>7</v>
      </c>
      <c r="Q15" s="138" t="s">
        <v>184</v>
      </c>
      <c r="R15" s="138" t="s">
        <v>16</v>
      </c>
      <c r="S15" s="138"/>
      <c r="T15" s="138">
        <v>0.9</v>
      </c>
      <c r="U15" s="138" t="s">
        <v>122</v>
      </c>
      <c r="V15" s="138">
        <v>227.3</v>
      </c>
      <c r="W15" s="138">
        <f t="shared" si="0"/>
        <v>204.57000000000002</v>
      </c>
      <c r="X15" s="138"/>
      <c r="Y15" s="138" t="str">
        <f>O15</f>
        <v>EC50</v>
      </c>
      <c r="Z15" s="138">
        <f>VLOOKUP(Y15,Tables!C$5:D$19,2,FALSE)</f>
        <v>5</v>
      </c>
      <c r="AA15" s="138">
        <f>W15/Z15</f>
        <v>40.914000000000001</v>
      </c>
      <c r="AB15" s="138" t="str">
        <f>R15</f>
        <v>Chronic</v>
      </c>
      <c r="AC15" s="138">
        <f>VLOOKUP(AB15,Tables!C$22:D$23,2,FALSE)</f>
        <v>1</v>
      </c>
      <c r="AD15" s="138">
        <f>AA15/AC15</f>
        <v>40.914000000000001</v>
      </c>
      <c r="AE15" s="117" t="s">
        <v>239</v>
      </c>
      <c r="AF15" s="138" t="str">
        <f>E15</f>
        <v>Chlamydomonas moewusii</v>
      </c>
      <c r="AG15" s="138" t="str">
        <f>O15</f>
        <v>EC50</v>
      </c>
      <c r="AH15" s="138" t="str">
        <f>R15</f>
        <v>Chronic</v>
      </c>
      <c r="AI15" s="138"/>
      <c r="AJ15" s="138">
        <f>VLOOKUP(SUM(Z15,AC15),Tables!J$5:K$10,2,FALSE)</f>
        <v>2</v>
      </c>
      <c r="AK15" s="63" t="str">
        <f>IF(AJ15=MIN($AJ$15:$AJ$16),"YES!!!","Reject")</f>
        <v>YES!!!</v>
      </c>
      <c r="AL15" s="138"/>
      <c r="AM15" s="138"/>
      <c r="AN15" s="138"/>
      <c r="AO15" s="138"/>
      <c r="AP15" s="138"/>
      <c r="AQ15" s="138"/>
      <c r="AR15" s="138"/>
      <c r="AS15" s="138"/>
      <c r="AT15" s="138"/>
      <c r="AU15" s="117" t="s">
        <v>239</v>
      </c>
      <c r="AX15" s="101"/>
      <c r="AY15" s="103"/>
      <c r="AZ15" s="101"/>
      <c r="BA15" s="101"/>
      <c r="BB15" s="101"/>
      <c r="BC15" s="101"/>
      <c r="BD15" s="101"/>
      <c r="BE15" s="105"/>
      <c r="BF15" s="105"/>
      <c r="BG15" s="105"/>
      <c r="BH15" s="105"/>
      <c r="BJ15" s="87" t="s">
        <v>17</v>
      </c>
      <c r="BK15" s="133" t="s">
        <v>149</v>
      </c>
      <c r="BL15" s="87" t="s">
        <v>185</v>
      </c>
      <c r="BM15" s="95" t="s">
        <v>186</v>
      </c>
      <c r="BN15" s="95" t="s">
        <v>18</v>
      </c>
      <c r="BO15" s="96">
        <v>2</v>
      </c>
      <c r="BP15" s="87">
        <v>19.399999999999999</v>
      </c>
      <c r="BQ15" s="122" t="s">
        <v>239</v>
      </c>
      <c r="BR15" s="126" t="s">
        <v>233</v>
      </c>
      <c r="BS15" s="126"/>
      <c r="CA15"/>
    </row>
    <row r="16" spans="1:104" s="65" customFormat="1" ht="31.5" thickTop="1" thickBot="1">
      <c r="A16" s="66">
        <v>603</v>
      </c>
      <c r="B16" s="66">
        <v>21</v>
      </c>
      <c r="C16" s="158" t="s">
        <v>247</v>
      </c>
      <c r="D16" s="66" t="s">
        <v>80</v>
      </c>
      <c r="E16" s="108" t="s">
        <v>121</v>
      </c>
      <c r="F16" s="66" t="s">
        <v>81</v>
      </c>
      <c r="G16" s="66" t="s">
        <v>180</v>
      </c>
      <c r="H16" s="66" t="s">
        <v>17</v>
      </c>
      <c r="I16" s="66" t="s">
        <v>18</v>
      </c>
      <c r="J16" s="66" t="s">
        <v>174</v>
      </c>
      <c r="K16" s="66"/>
      <c r="L16" s="162" t="str">
        <f>CONCATENATE(M16, " ", "(", N16, ")")</f>
        <v>Population (Fluoresence)</v>
      </c>
      <c r="M16" s="162" t="s">
        <v>202</v>
      </c>
      <c r="N16" s="166" t="s">
        <v>230</v>
      </c>
      <c r="O16" s="138" t="s">
        <v>22</v>
      </c>
      <c r="P16" s="138">
        <v>7</v>
      </c>
      <c r="Q16" s="138" t="s">
        <v>184</v>
      </c>
      <c r="R16" s="138" t="s">
        <v>16</v>
      </c>
      <c r="S16" s="138"/>
      <c r="T16" s="138">
        <v>1</v>
      </c>
      <c r="U16" s="138" t="s">
        <v>122</v>
      </c>
      <c r="V16" s="138">
        <v>227.3</v>
      </c>
      <c r="W16" s="138">
        <f t="shared" si="0"/>
        <v>227.3</v>
      </c>
      <c r="X16" s="138"/>
      <c r="Y16" s="138" t="str">
        <f>O16</f>
        <v>LOEC</v>
      </c>
      <c r="Z16" s="138">
        <f>VLOOKUP(Y16,Tables!C$5:D$19,2,FALSE)</f>
        <v>2.5</v>
      </c>
      <c r="AA16" s="138">
        <f>W16/Z16</f>
        <v>90.92</v>
      </c>
      <c r="AB16" s="138" t="str">
        <f>R16</f>
        <v>Chronic</v>
      </c>
      <c r="AC16" s="138">
        <f>VLOOKUP(AB16,Tables!C$22:D$23,2,FALSE)</f>
        <v>1</v>
      </c>
      <c r="AD16" s="138">
        <f>AA16/AC16</f>
        <v>90.92</v>
      </c>
      <c r="AE16" s="117" t="s">
        <v>239</v>
      </c>
      <c r="AF16" s="138" t="str">
        <f>E16</f>
        <v>Chlamydomonas moewusii</v>
      </c>
      <c r="AG16" s="138" t="str">
        <f>O16</f>
        <v>LOEC</v>
      </c>
      <c r="AH16" s="138" t="str">
        <f>R16</f>
        <v>Chronic</v>
      </c>
      <c r="AI16" s="138"/>
      <c r="AJ16" s="138">
        <f>VLOOKUP(SUM(Z16,AC16),Tables!J$5:K$10,2,FALSE)</f>
        <v>2</v>
      </c>
      <c r="AK16" s="63" t="str">
        <f>IF(AJ16=MIN($AJ$15:$AJ$16),"YES!!!","Reject")</f>
        <v>YES!!!</v>
      </c>
      <c r="AL16" s="138"/>
      <c r="AM16" s="138"/>
      <c r="AN16" s="138"/>
      <c r="AO16" s="138"/>
      <c r="AP16" s="138"/>
      <c r="AQ16" s="138"/>
      <c r="AR16" s="138"/>
      <c r="AS16" s="138"/>
      <c r="AT16" s="138"/>
      <c r="AU16" s="117" t="s">
        <v>239</v>
      </c>
      <c r="AX16" s="67"/>
      <c r="AY16" s="99"/>
      <c r="AZ16" s="67"/>
      <c r="BA16" s="67"/>
      <c r="BB16" s="67"/>
      <c r="BC16" s="67"/>
      <c r="BD16" s="67"/>
      <c r="BE16" s="67"/>
      <c r="BF16" s="106"/>
      <c r="BG16" s="106"/>
      <c r="BH16" s="106"/>
      <c r="BI16" s="2"/>
      <c r="BJ16" s="87" t="s">
        <v>17</v>
      </c>
      <c r="BK16" s="135" t="s">
        <v>154</v>
      </c>
      <c r="BL16" s="87" t="s">
        <v>81</v>
      </c>
      <c r="BM16" s="95" t="s">
        <v>180</v>
      </c>
      <c r="BN16" s="95" t="s">
        <v>18</v>
      </c>
      <c r="BO16" s="96">
        <v>2</v>
      </c>
      <c r="BP16" s="87">
        <v>7.2</v>
      </c>
      <c r="BQ16" s="122" t="s">
        <v>239</v>
      </c>
      <c r="BR16" s="126" t="s">
        <v>233</v>
      </c>
      <c r="BS16" s="2"/>
      <c r="CA16"/>
    </row>
    <row r="17" spans="1:82" s="2" customFormat="1" ht="15.75" hidden="1" customHeight="1" thickTop="1" thickBot="1">
      <c r="A17" s="40"/>
      <c r="B17" s="40"/>
      <c r="C17" s="34"/>
      <c r="D17" s="34"/>
      <c r="E17" s="168"/>
      <c r="F17" s="34"/>
      <c r="G17" s="34"/>
      <c r="H17" s="40"/>
      <c r="I17" s="40"/>
      <c r="J17" s="40"/>
      <c r="K17" s="34"/>
      <c r="L17" s="163"/>
      <c r="M17" s="163"/>
      <c r="N17" s="163"/>
      <c r="O17" s="40"/>
      <c r="P17" s="40"/>
      <c r="Q17" s="40"/>
      <c r="R17" s="40"/>
      <c r="S17" s="40"/>
      <c r="T17" s="40"/>
      <c r="U17" s="40"/>
      <c r="V17" s="70"/>
      <c r="W17" s="70"/>
      <c r="X17" s="34"/>
      <c r="Y17" s="40"/>
      <c r="Z17" s="40"/>
      <c r="AA17" s="70"/>
      <c r="AB17" s="40"/>
      <c r="AC17" s="40"/>
      <c r="AD17" s="70"/>
      <c r="AE17" s="40"/>
      <c r="AF17" s="100"/>
      <c r="AG17" s="81"/>
      <c r="AH17" s="81"/>
      <c r="AI17" s="34"/>
      <c r="AJ17" s="34"/>
      <c r="AK17" s="34"/>
      <c r="AL17" s="34"/>
      <c r="AM17" s="40"/>
      <c r="AN17" s="40"/>
      <c r="AO17" s="40"/>
      <c r="AP17" s="34"/>
      <c r="AQ17" s="70"/>
      <c r="AR17" s="34"/>
      <c r="AS17" s="34"/>
      <c r="AT17" s="34"/>
      <c r="AU17" s="40"/>
      <c r="AV17" s="106"/>
      <c r="AW17" s="106"/>
      <c r="AX17" s="90"/>
      <c r="AY17" s="100"/>
      <c r="AZ17" s="34"/>
      <c r="BA17" s="34"/>
      <c r="BB17" s="34"/>
      <c r="BC17" s="34"/>
      <c r="BD17" s="34"/>
      <c r="BE17" s="89"/>
      <c r="BF17" s="89"/>
      <c r="BG17" s="50"/>
      <c r="BH17" s="50"/>
      <c r="BJ17" s="87" t="s">
        <v>17</v>
      </c>
      <c r="BK17" s="133" t="s">
        <v>152</v>
      </c>
      <c r="BL17" s="87" t="s">
        <v>185</v>
      </c>
      <c r="BM17" s="95" t="s">
        <v>186</v>
      </c>
      <c r="BN17" s="95" t="s">
        <v>18</v>
      </c>
      <c r="BO17" s="96">
        <v>2</v>
      </c>
      <c r="BP17" s="87">
        <v>12.4</v>
      </c>
      <c r="BQ17" s="122" t="s">
        <v>239</v>
      </c>
      <c r="BR17" s="126" t="s">
        <v>233</v>
      </c>
      <c r="CA17"/>
    </row>
    <row r="18" spans="1:82" s="2" customFormat="1" ht="46.5" thickTop="1" thickBot="1">
      <c r="A18" s="66">
        <v>1647</v>
      </c>
      <c r="B18" s="68" t="s">
        <v>138</v>
      </c>
      <c r="C18" s="158" t="s">
        <v>250</v>
      </c>
      <c r="D18" s="67" t="s">
        <v>80</v>
      </c>
      <c r="E18" s="108" t="s">
        <v>139</v>
      </c>
      <c r="F18" s="106" t="s">
        <v>81</v>
      </c>
      <c r="G18" s="67" t="s">
        <v>82</v>
      </c>
      <c r="H18" s="66" t="s">
        <v>17</v>
      </c>
      <c r="I18" s="68" t="s">
        <v>18</v>
      </c>
      <c r="J18" s="68" t="s">
        <v>174</v>
      </c>
      <c r="K18" s="66"/>
      <c r="L18" s="162" t="s">
        <v>205</v>
      </c>
      <c r="M18" s="162" t="s">
        <v>205</v>
      </c>
      <c r="N18" s="162" t="s">
        <v>205</v>
      </c>
      <c r="O18" s="66" t="s">
        <v>15</v>
      </c>
      <c r="P18" s="66">
        <v>72</v>
      </c>
      <c r="Q18" s="66" t="s">
        <v>89</v>
      </c>
      <c r="R18" s="66" t="s">
        <v>16</v>
      </c>
      <c r="S18" s="66"/>
      <c r="T18" s="66">
        <v>320</v>
      </c>
      <c r="U18" s="66" t="s">
        <v>87</v>
      </c>
      <c r="V18" s="66">
        <f>VLOOKUP(U18,Tables!M$5:O$8,3,FALSE)</f>
        <v>1</v>
      </c>
      <c r="W18" s="66">
        <f>T18*V18</f>
        <v>320</v>
      </c>
      <c r="X18" s="66"/>
      <c r="Y18" s="66" t="str">
        <f>O18</f>
        <v>EC50</v>
      </c>
      <c r="Z18" s="71">
        <f>VLOOKUP(Y18,Tables!C$5:D$19,2,FALSE)</f>
        <v>5</v>
      </c>
      <c r="AA18" s="72">
        <f>W18/Z18</f>
        <v>64</v>
      </c>
      <c r="AB18" s="73" t="str">
        <f>R18</f>
        <v>Chronic</v>
      </c>
      <c r="AC18" s="71">
        <f>VLOOKUP(AB18,Tables!C$22:D$23,2,FALSE)</f>
        <v>1</v>
      </c>
      <c r="AD18" s="74">
        <f>AA18/AC18</f>
        <v>64</v>
      </c>
      <c r="AE18" s="117" t="s">
        <v>239</v>
      </c>
      <c r="AF18" s="131" t="str">
        <f>E18</f>
        <v>Chlorella sp.</v>
      </c>
      <c r="AG18" s="83" t="str">
        <f>O18</f>
        <v>EC50</v>
      </c>
      <c r="AH18" s="83" t="str">
        <f>R18</f>
        <v>Chronic</v>
      </c>
      <c r="AI18" s="83"/>
      <c r="AJ18" s="71">
        <f>VLOOKUP(SUM(Z18,AC18),Tables!J$5:K$10,2,FALSE)</f>
        <v>2</v>
      </c>
      <c r="AK18" s="75" t="str">
        <f>IF(AJ18=MIN($AJ$18),"YES!!!","Reject")</f>
        <v>YES!!!</v>
      </c>
      <c r="AL18" s="77" t="str">
        <f>N18</f>
        <v>Biomass yield, growth rate, area under the growth curve</v>
      </c>
      <c r="AM18" s="68" t="s">
        <v>105</v>
      </c>
      <c r="AN18" s="66" t="str">
        <f>CONCATENATE(P18," ",Q18)</f>
        <v>72 Hour</v>
      </c>
      <c r="AO18" s="68" t="s">
        <v>106</v>
      </c>
      <c r="AP18" s="106"/>
      <c r="AQ18" s="74">
        <f>AD18</f>
        <v>64</v>
      </c>
      <c r="AR18" s="77">
        <f>GEOMEAN(AQ18)</f>
        <v>64</v>
      </c>
      <c r="AS18" s="77">
        <f>MIN(AR18)</f>
        <v>64</v>
      </c>
      <c r="AT18" s="77">
        <f>MIN(AS18)</f>
        <v>64</v>
      </c>
      <c r="AU18" s="117" t="s">
        <v>239</v>
      </c>
      <c r="AV18" s="106"/>
      <c r="AW18" s="106"/>
      <c r="AX18" s="152" t="str">
        <f>H18</f>
        <v>Microalgae</v>
      </c>
      <c r="AY18" s="152" t="str">
        <f>E18</f>
        <v>Chlorella sp.</v>
      </c>
      <c r="AZ18" s="152" t="str">
        <f>F18</f>
        <v>Chlorophyta</v>
      </c>
      <c r="BA18" s="152" t="str">
        <f>G18</f>
        <v>Trebouxiophyceae</v>
      </c>
      <c r="BB18" s="152" t="str">
        <f>I18</f>
        <v>Phototroph</v>
      </c>
      <c r="BC18" s="152">
        <f>AJ18</f>
        <v>2</v>
      </c>
      <c r="BD18" s="152">
        <f>AT18</f>
        <v>64</v>
      </c>
      <c r="BE18" s="117" t="s">
        <v>239</v>
      </c>
      <c r="BF18" s="117" t="s">
        <v>239</v>
      </c>
      <c r="BG18" s="156"/>
      <c r="BH18" s="156"/>
      <c r="BI18" s="65"/>
      <c r="BJ18" s="87" t="s">
        <v>17</v>
      </c>
      <c r="BK18" s="133" t="s">
        <v>140</v>
      </c>
      <c r="BL18" s="87" t="s">
        <v>185</v>
      </c>
      <c r="BM18" s="95" t="s">
        <v>192</v>
      </c>
      <c r="BN18" s="95" t="s">
        <v>18</v>
      </c>
      <c r="BO18" s="96">
        <v>2</v>
      </c>
      <c r="BP18" s="87">
        <v>6.324555320336759</v>
      </c>
      <c r="BQ18" s="122" t="s">
        <v>239</v>
      </c>
      <c r="BR18" s="126" t="s">
        <v>233</v>
      </c>
      <c r="BS18" s="65"/>
      <c r="CA18"/>
    </row>
    <row r="19" spans="1:82" s="65" customFormat="1" ht="16.5" hidden="1" thickTop="1" thickBot="1">
      <c r="A19" s="40"/>
      <c r="B19" s="40"/>
      <c r="C19" s="34"/>
      <c r="D19" s="34"/>
      <c r="E19" s="168"/>
      <c r="F19" s="34"/>
      <c r="G19" s="34"/>
      <c r="H19" s="40"/>
      <c r="I19" s="40"/>
      <c r="J19" s="40"/>
      <c r="K19" s="34"/>
      <c r="L19" s="163"/>
      <c r="M19" s="163"/>
      <c r="N19" s="163"/>
      <c r="O19" s="40"/>
      <c r="P19" s="40"/>
      <c r="Q19" s="40"/>
      <c r="R19" s="40"/>
      <c r="S19" s="40"/>
      <c r="T19" s="40"/>
      <c r="U19" s="40"/>
      <c r="V19" s="70"/>
      <c r="W19" s="70"/>
      <c r="X19" s="34"/>
      <c r="Y19" s="40"/>
      <c r="Z19" s="40"/>
      <c r="AA19" s="70"/>
      <c r="AB19" s="40"/>
      <c r="AC19" s="40"/>
      <c r="AD19" s="70"/>
      <c r="AE19" s="40"/>
      <c r="AF19" s="100"/>
      <c r="AG19" s="81"/>
      <c r="AH19" s="81"/>
      <c r="AI19" s="34"/>
      <c r="AJ19" s="34"/>
      <c r="AK19" s="34"/>
      <c r="AL19" s="34"/>
      <c r="AM19" s="40"/>
      <c r="AN19" s="40"/>
      <c r="AO19" s="40"/>
      <c r="AP19" s="34"/>
      <c r="AQ19" s="70"/>
      <c r="AR19" s="34"/>
      <c r="AS19" s="34"/>
      <c r="AT19" s="34"/>
      <c r="AU19" s="40"/>
      <c r="AV19" s="50"/>
      <c r="AW19" s="50"/>
      <c r="AX19" s="90"/>
      <c r="AY19" s="100"/>
      <c r="AZ19" s="34"/>
      <c r="BA19" s="34"/>
      <c r="BB19" s="34"/>
      <c r="BC19" s="34"/>
      <c r="BD19" s="34"/>
      <c r="BE19" s="89"/>
      <c r="BF19" s="89"/>
      <c r="BG19" s="50"/>
      <c r="BH19" s="50"/>
      <c r="BJ19" s="87" t="s">
        <v>17</v>
      </c>
      <c r="BK19" s="136" t="s">
        <v>155</v>
      </c>
      <c r="BL19" s="87" t="s">
        <v>81</v>
      </c>
      <c r="BM19" s="95" t="s">
        <v>180</v>
      </c>
      <c r="BN19" s="95" t="s">
        <v>18</v>
      </c>
      <c r="BO19" s="96">
        <v>2</v>
      </c>
      <c r="BP19" s="87">
        <v>4.8</v>
      </c>
      <c r="BQ19" s="122" t="s">
        <v>239</v>
      </c>
      <c r="BR19" s="126" t="s">
        <v>233</v>
      </c>
      <c r="CA19"/>
    </row>
    <row r="20" spans="1:82" s="65" customFormat="1" ht="16.5" thickTop="1" thickBot="1">
      <c r="A20" s="68">
        <v>618</v>
      </c>
      <c r="B20" s="7">
        <v>140</v>
      </c>
      <c r="C20" s="2"/>
      <c r="D20" s="6" t="s">
        <v>80</v>
      </c>
      <c r="E20" s="128" t="s">
        <v>115</v>
      </c>
      <c r="F20" s="6" t="s">
        <v>81</v>
      </c>
      <c r="G20" s="6" t="s">
        <v>82</v>
      </c>
      <c r="H20" s="4" t="s">
        <v>17</v>
      </c>
      <c r="I20" s="7" t="s">
        <v>18</v>
      </c>
      <c r="J20" s="7" t="s">
        <v>174</v>
      </c>
      <c r="K20" s="2"/>
      <c r="L20" s="162" t="s">
        <v>220</v>
      </c>
      <c r="M20" s="162" t="s">
        <v>202</v>
      </c>
      <c r="N20" s="162" t="s">
        <v>204</v>
      </c>
      <c r="O20" s="66" t="s">
        <v>15</v>
      </c>
      <c r="P20" s="78">
        <v>4</v>
      </c>
      <c r="Q20" s="7" t="s">
        <v>184</v>
      </c>
      <c r="R20" s="7" t="s">
        <v>16</v>
      </c>
      <c r="S20" s="4"/>
      <c r="T20" s="66">
        <v>0.3</v>
      </c>
      <c r="U20" s="4" t="s">
        <v>62</v>
      </c>
      <c r="V20" s="66">
        <f>VLOOKUP(U20,Tables!M$5:O$8,3,FALSE)</f>
        <v>1</v>
      </c>
      <c r="W20" s="66">
        <f t="shared" si="0"/>
        <v>0.3</v>
      </c>
      <c r="X20" s="66"/>
      <c r="Y20" s="66" t="str">
        <f>O20</f>
        <v>EC50</v>
      </c>
      <c r="Z20" s="71">
        <f>VLOOKUP(Y20,Tables!C$5:D$19,2,FALSE)</f>
        <v>5</v>
      </c>
      <c r="AA20" s="72">
        <f>W20/Z20</f>
        <v>0.06</v>
      </c>
      <c r="AB20" s="73" t="str">
        <f>R20</f>
        <v>Chronic</v>
      </c>
      <c r="AC20" s="71">
        <f>VLOOKUP(AB20,Tables!C$22:D$23,2,FALSE)</f>
        <v>1</v>
      </c>
      <c r="AD20" s="74">
        <f>AA20/AC20</f>
        <v>0.06</v>
      </c>
      <c r="AE20" s="117" t="s">
        <v>239</v>
      </c>
      <c r="AF20" s="131" t="str">
        <f>E20</f>
        <v>Chlorella pyrenoidosa</v>
      </c>
      <c r="AG20" s="83" t="str">
        <f>O20</f>
        <v>EC50</v>
      </c>
      <c r="AH20" s="83" t="str">
        <f>R20</f>
        <v>Chronic</v>
      </c>
      <c r="AI20" s="83"/>
      <c r="AJ20" s="71">
        <f>VLOOKUP(SUM(Z20,AC20),Tables!J$5:K$10,2,FALSE)</f>
        <v>2</v>
      </c>
      <c r="AK20" s="63" t="str">
        <f>IF(AJ20=MIN($AJ$20:$AJ$21),"YES!!!","Reject")</f>
        <v>YES!!!</v>
      </c>
      <c r="AL20" s="77" t="str">
        <f>N20</f>
        <v>Abundance</v>
      </c>
      <c r="AM20" s="68" t="s">
        <v>105</v>
      </c>
      <c r="AN20" s="66" t="str">
        <f>CONCATENATE(P20," ",Q20)</f>
        <v>4 Day</v>
      </c>
      <c r="AO20" s="68" t="s">
        <v>106</v>
      </c>
      <c r="AP20" s="2"/>
      <c r="AQ20" s="74">
        <f>AD20</f>
        <v>0.06</v>
      </c>
      <c r="AR20" s="77">
        <f>GEOMEAN(AQ20:AQ21)</f>
        <v>0.06</v>
      </c>
      <c r="AS20" s="77">
        <f>MIN(AR20:AR21)</f>
        <v>0.06</v>
      </c>
      <c r="AT20" s="77">
        <f>MIN(AS20)</f>
        <v>0.06</v>
      </c>
      <c r="AU20" s="117" t="s">
        <v>239</v>
      </c>
      <c r="AX20" s="77" t="str">
        <f>H20</f>
        <v>Microalgae</v>
      </c>
      <c r="AY20" s="102" t="str">
        <f>E20</f>
        <v>Chlorella pyrenoidosa</v>
      </c>
      <c r="AZ20" s="77" t="str">
        <f>F20</f>
        <v>Chlorophyta</v>
      </c>
      <c r="BA20" s="97" t="str">
        <f>G20</f>
        <v>Trebouxiophyceae</v>
      </c>
      <c r="BB20" s="97" t="str">
        <f>I20</f>
        <v>Phototroph</v>
      </c>
      <c r="BC20" s="86">
        <f>AJ20</f>
        <v>2</v>
      </c>
      <c r="BD20" s="77">
        <f>AT20</f>
        <v>0.06</v>
      </c>
      <c r="BE20" s="117" t="s">
        <v>239</v>
      </c>
      <c r="BF20" s="117" t="s">
        <v>239</v>
      </c>
      <c r="BG20" s="112"/>
      <c r="BH20" s="112"/>
      <c r="BJ20" s="87" t="s">
        <v>17</v>
      </c>
      <c r="BK20" s="135" t="s">
        <v>120</v>
      </c>
      <c r="BL20" s="87" t="s">
        <v>81</v>
      </c>
      <c r="BM20" s="95" t="s">
        <v>180</v>
      </c>
      <c r="BN20" s="95" t="s">
        <v>18</v>
      </c>
      <c r="BO20" s="96">
        <v>2</v>
      </c>
      <c r="BP20" s="87">
        <v>30</v>
      </c>
      <c r="BQ20" s="122" t="s">
        <v>239</v>
      </c>
      <c r="BR20" s="126" t="s">
        <v>233</v>
      </c>
      <c r="CA20"/>
    </row>
    <row r="21" spans="1:82" s="65" customFormat="1" ht="16.5" thickTop="1" thickBot="1">
      <c r="A21" s="68" t="s">
        <v>179</v>
      </c>
      <c r="B21" s="7" t="s">
        <v>177</v>
      </c>
      <c r="C21" s="2"/>
      <c r="D21" s="6" t="s">
        <v>80</v>
      </c>
      <c r="E21" s="128" t="s">
        <v>115</v>
      </c>
      <c r="F21" s="65" t="s">
        <v>81</v>
      </c>
      <c r="G21" s="65" t="s">
        <v>82</v>
      </c>
      <c r="H21" s="66" t="s">
        <v>17</v>
      </c>
      <c r="I21" s="7" t="s">
        <v>18</v>
      </c>
      <c r="J21" s="7" t="s">
        <v>174</v>
      </c>
      <c r="K21" s="2"/>
      <c r="L21" s="162" t="s">
        <v>178</v>
      </c>
      <c r="M21" s="162" t="s">
        <v>202</v>
      </c>
      <c r="N21" s="162" t="s">
        <v>204</v>
      </c>
      <c r="O21" s="68" t="s">
        <v>15</v>
      </c>
      <c r="P21" s="7">
        <v>96</v>
      </c>
      <c r="Q21" s="7" t="s">
        <v>89</v>
      </c>
      <c r="R21" s="68" t="s">
        <v>16</v>
      </c>
      <c r="S21" s="4"/>
      <c r="T21" s="66">
        <v>2.9999999999999997E-4</v>
      </c>
      <c r="U21" s="66" t="s">
        <v>61</v>
      </c>
      <c r="V21" s="66">
        <f>VLOOKUP(U21,Tables!M$5:O$8,3,FALSE)</f>
        <v>1000</v>
      </c>
      <c r="W21" s="66">
        <f t="shared" si="0"/>
        <v>0.3</v>
      </c>
      <c r="X21" s="66"/>
      <c r="Y21" s="66" t="str">
        <f>O21</f>
        <v>EC50</v>
      </c>
      <c r="Z21" s="71">
        <f>VLOOKUP(Y21,Tables!C$5:D$19,2,FALSE)</f>
        <v>5</v>
      </c>
      <c r="AA21" s="72">
        <f>W21/Z21</f>
        <v>0.06</v>
      </c>
      <c r="AB21" s="73" t="str">
        <f>R21</f>
        <v>Chronic</v>
      </c>
      <c r="AC21" s="71">
        <f>VLOOKUP(AB21,Tables!C$22:D$23,2,FALSE)</f>
        <v>1</v>
      </c>
      <c r="AD21" s="74">
        <f>AA21/AC21</f>
        <v>0.06</v>
      </c>
      <c r="AE21" s="117" t="s">
        <v>239</v>
      </c>
      <c r="AF21" s="131" t="str">
        <f>E21</f>
        <v>Chlorella pyrenoidosa</v>
      </c>
      <c r="AG21" s="83" t="str">
        <f>O21</f>
        <v>EC50</v>
      </c>
      <c r="AH21" s="83" t="str">
        <f>R21</f>
        <v>Chronic</v>
      </c>
      <c r="AI21" s="83"/>
      <c r="AJ21" s="71">
        <f>VLOOKUP(SUM(Z21,AC21),Tables!J$5:K$10,2,FALSE)</f>
        <v>2</v>
      </c>
      <c r="AK21" s="63" t="str">
        <f>IF(AJ21=MIN($AJ$20:$AJ$21),"YES!!!","Reject")</f>
        <v>YES!!!</v>
      </c>
      <c r="AL21" s="77" t="str">
        <f>N21</f>
        <v>Abundance</v>
      </c>
      <c r="AM21" s="68" t="s">
        <v>105</v>
      </c>
      <c r="AN21" s="66" t="str">
        <f>CONCATENATE(P21," ",Q21)</f>
        <v>96 Hour</v>
      </c>
      <c r="AO21" s="66" t="s">
        <v>106</v>
      </c>
      <c r="AP21" s="2"/>
      <c r="AQ21" s="74">
        <f>AD21</f>
        <v>0.06</v>
      </c>
      <c r="AR21" s="77"/>
      <c r="AS21" s="77"/>
      <c r="AT21" s="6"/>
      <c r="AU21" s="117" t="s">
        <v>239</v>
      </c>
      <c r="AX21" s="6"/>
      <c r="AY21" s="99"/>
      <c r="AZ21" s="6"/>
      <c r="BA21" s="6"/>
      <c r="BB21" s="6"/>
      <c r="BC21" s="6"/>
      <c r="BD21" s="6"/>
      <c r="BE21" s="67"/>
      <c r="BF21" s="106"/>
      <c r="BG21" s="106"/>
      <c r="BH21" s="106"/>
      <c r="BJ21" s="87" t="s">
        <v>17</v>
      </c>
      <c r="BK21" s="135" t="s">
        <v>150</v>
      </c>
      <c r="BL21" s="87" t="s">
        <v>185</v>
      </c>
      <c r="BM21" s="95" t="s">
        <v>186</v>
      </c>
      <c r="BN21" s="95" t="s">
        <v>18</v>
      </c>
      <c r="BO21" s="96">
        <v>2</v>
      </c>
      <c r="BP21" s="87">
        <v>5.2</v>
      </c>
      <c r="BQ21" s="122" t="s">
        <v>239</v>
      </c>
      <c r="BR21" s="126" t="s">
        <v>233</v>
      </c>
      <c r="CA21"/>
    </row>
    <row r="22" spans="1:82" s="65" customFormat="1" ht="16.5" hidden="1" thickTop="1" thickBot="1">
      <c r="A22" s="40"/>
      <c r="B22" s="40"/>
      <c r="C22" s="34"/>
      <c r="D22" s="34"/>
      <c r="E22" s="168"/>
      <c r="F22" s="34"/>
      <c r="G22" s="34"/>
      <c r="H22" s="40"/>
      <c r="I22" s="40"/>
      <c r="J22" s="40"/>
      <c r="K22" s="34"/>
      <c r="L22" s="163"/>
      <c r="M22" s="163"/>
      <c r="N22" s="163"/>
      <c r="O22" s="40"/>
      <c r="P22" s="40"/>
      <c r="Q22" s="40"/>
      <c r="R22" s="40"/>
      <c r="S22" s="40"/>
      <c r="T22" s="40"/>
      <c r="U22" s="40"/>
      <c r="V22" s="70"/>
      <c r="W22" s="70"/>
      <c r="X22" s="34"/>
      <c r="Y22" s="40"/>
      <c r="Z22" s="40"/>
      <c r="AA22" s="70"/>
      <c r="AB22" s="40"/>
      <c r="AC22" s="40"/>
      <c r="AD22" s="70"/>
      <c r="AE22" s="40"/>
      <c r="AF22" s="100"/>
      <c r="AG22" s="81"/>
      <c r="AH22" s="81"/>
      <c r="AI22" s="34"/>
      <c r="AJ22" s="34"/>
      <c r="AK22" s="34"/>
      <c r="AL22" s="34"/>
      <c r="AM22" s="40"/>
      <c r="AN22" s="40"/>
      <c r="AO22" s="40"/>
      <c r="AP22" s="34"/>
      <c r="AQ22" s="70"/>
      <c r="AR22" s="34"/>
      <c r="AS22" s="34"/>
      <c r="AT22" s="34"/>
      <c r="AU22" s="40"/>
      <c r="AV22" s="50"/>
      <c r="AW22" s="50"/>
      <c r="AX22" s="90"/>
      <c r="AY22" s="100"/>
      <c r="AZ22" s="34"/>
      <c r="BA22" s="34"/>
      <c r="BB22" s="34"/>
      <c r="BC22" s="34"/>
      <c r="BD22" s="34"/>
      <c r="BE22" s="89"/>
      <c r="BF22" s="89"/>
      <c r="BG22" s="50"/>
      <c r="BH22" s="50"/>
      <c r="BI22" s="2"/>
      <c r="BJ22" s="87" t="s">
        <v>17</v>
      </c>
      <c r="BK22" s="133" t="s">
        <v>147</v>
      </c>
      <c r="BL22" s="87" t="s">
        <v>185</v>
      </c>
      <c r="BM22" s="95" t="s">
        <v>195</v>
      </c>
      <c r="BN22" s="95" t="s">
        <v>18</v>
      </c>
      <c r="BO22" s="96">
        <v>2</v>
      </c>
      <c r="BP22" s="87">
        <v>11.6</v>
      </c>
      <c r="BQ22" s="122" t="s">
        <v>239</v>
      </c>
      <c r="BR22" s="126" t="s">
        <v>233</v>
      </c>
      <c r="BS22" s="2"/>
      <c r="CA22"/>
    </row>
    <row r="23" spans="1:82" s="2" customFormat="1" ht="16.5" thickTop="1" thickBot="1">
      <c r="A23" s="66">
        <v>1358</v>
      </c>
      <c r="B23" s="112">
        <v>2049116</v>
      </c>
      <c r="C23" s="115"/>
      <c r="D23" s="109" t="s">
        <v>80</v>
      </c>
      <c r="E23" s="169" t="s">
        <v>141</v>
      </c>
      <c r="F23" s="106" t="s">
        <v>81</v>
      </c>
      <c r="G23" s="113" t="s">
        <v>180</v>
      </c>
      <c r="H23" s="66" t="s">
        <v>17</v>
      </c>
      <c r="I23" s="68" t="s">
        <v>18</v>
      </c>
      <c r="J23" s="68" t="s">
        <v>174</v>
      </c>
      <c r="K23" s="113"/>
      <c r="L23" s="162" t="s">
        <v>205</v>
      </c>
      <c r="M23" s="162" t="s">
        <v>205</v>
      </c>
      <c r="N23" s="162" t="s">
        <v>205</v>
      </c>
      <c r="O23" s="68" t="s">
        <v>15</v>
      </c>
      <c r="P23" s="112">
        <v>10</v>
      </c>
      <c r="Q23" s="68" t="s">
        <v>184</v>
      </c>
      <c r="R23" s="68" t="s">
        <v>16</v>
      </c>
      <c r="S23" s="112"/>
      <c r="T23" s="66">
        <v>10</v>
      </c>
      <c r="U23" s="66" t="s">
        <v>61</v>
      </c>
      <c r="V23" s="66">
        <f>VLOOKUP(U23,Tables!M$5:O$8,3,FALSE)</f>
        <v>1000</v>
      </c>
      <c r="W23" s="66">
        <f>T23*V23</f>
        <v>10000</v>
      </c>
      <c r="X23" s="66"/>
      <c r="Y23" s="66" t="str">
        <f>O23</f>
        <v>EC50</v>
      </c>
      <c r="Z23" s="71">
        <f>VLOOKUP(Y23,Tables!C$5:D$19,2,FALSE)</f>
        <v>5</v>
      </c>
      <c r="AA23" s="72">
        <f>W23/Z23</f>
        <v>2000</v>
      </c>
      <c r="AB23" s="73" t="str">
        <f>R23</f>
        <v>Chronic</v>
      </c>
      <c r="AC23" s="71">
        <f>VLOOKUP(AB23,Tables!C$22:D$23,2,FALSE)</f>
        <v>1</v>
      </c>
      <c r="AD23" s="74">
        <f>AA23/AC23</f>
        <v>2000</v>
      </c>
      <c r="AE23" s="117" t="s">
        <v>239</v>
      </c>
      <c r="AF23" s="131" t="str">
        <f>E23</f>
        <v>Chlorococcum sp.</v>
      </c>
      <c r="AG23" s="83" t="str">
        <f>O23</f>
        <v>EC50</v>
      </c>
      <c r="AH23" s="83" t="str">
        <f>R23</f>
        <v>Chronic</v>
      </c>
      <c r="AI23" s="83"/>
      <c r="AJ23" s="71">
        <f>VLOOKUP(SUM(Z23,AC23),Tables!J$5:K$10,2,FALSE)</f>
        <v>2</v>
      </c>
      <c r="AK23" s="75" t="str">
        <f>IF(AJ23=MIN($AJ$23:$AJ$24),"YES!!!","Reject")</f>
        <v>YES!!!</v>
      </c>
      <c r="AL23" s="77" t="str">
        <f>N23</f>
        <v>Biomass yield, growth rate, area under the growth curve</v>
      </c>
      <c r="AM23" s="68" t="s">
        <v>105</v>
      </c>
      <c r="AN23" s="66" t="str">
        <f>CONCATENATE(P23," ",Q23)</f>
        <v>10 Day</v>
      </c>
      <c r="AO23" s="68" t="s">
        <v>106</v>
      </c>
      <c r="AP23" s="106"/>
      <c r="AQ23" s="74">
        <f>AD23</f>
        <v>2000</v>
      </c>
      <c r="AR23" s="77">
        <f>GEOMEAN(AQ23)</f>
        <v>2000</v>
      </c>
      <c r="AS23" s="77">
        <f>MIN(AR23)</f>
        <v>2000</v>
      </c>
      <c r="AT23" s="77">
        <f>MIN(AS23)</f>
        <v>2000</v>
      </c>
      <c r="AU23" s="117" t="s">
        <v>239</v>
      </c>
      <c r="AV23" s="113"/>
      <c r="AW23" s="113"/>
      <c r="AX23" s="77" t="str">
        <f>H23</f>
        <v>Microalgae</v>
      </c>
      <c r="AY23" s="102" t="str">
        <f>E23</f>
        <v>Chlorococcum sp.</v>
      </c>
      <c r="AZ23" s="77" t="str">
        <f>F23</f>
        <v>Chlorophyta</v>
      </c>
      <c r="BA23" s="97" t="str">
        <f>G23</f>
        <v>Chlorophyceae</v>
      </c>
      <c r="BB23" s="97" t="str">
        <f>I23</f>
        <v>Phototroph</v>
      </c>
      <c r="BC23" s="86">
        <f>AJ23</f>
        <v>2</v>
      </c>
      <c r="BD23" s="77">
        <f>AT23</f>
        <v>2000</v>
      </c>
      <c r="BE23" s="117" t="s">
        <v>239</v>
      </c>
      <c r="BF23" s="117" t="s">
        <v>239</v>
      </c>
      <c r="BG23" s="112"/>
      <c r="BH23" s="112"/>
      <c r="BJ23" s="87" t="s">
        <v>17</v>
      </c>
      <c r="BK23" s="133" t="s">
        <v>146</v>
      </c>
      <c r="BL23" s="87" t="s">
        <v>185</v>
      </c>
      <c r="BM23" s="95" t="s">
        <v>195</v>
      </c>
      <c r="BN23" s="95" t="s">
        <v>18</v>
      </c>
      <c r="BO23" s="96">
        <v>2</v>
      </c>
      <c r="BP23" s="87">
        <v>11</v>
      </c>
      <c r="BQ23" s="122" t="s">
        <v>239</v>
      </c>
      <c r="BR23" s="126" t="s">
        <v>233</v>
      </c>
      <c r="CA23"/>
    </row>
    <row r="24" spans="1:82" s="2" customFormat="1" ht="16.5" thickTop="1" thickBot="1">
      <c r="A24" s="66">
        <v>1654</v>
      </c>
      <c r="B24" s="112">
        <v>2049116</v>
      </c>
      <c r="C24" s="115"/>
      <c r="D24" s="109" t="s">
        <v>80</v>
      </c>
      <c r="E24" s="169" t="s">
        <v>141</v>
      </c>
      <c r="F24" s="106" t="s">
        <v>81</v>
      </c>
      <c r="G24" s="113" t="s">
        <v>180</v>
      </c>
      <c r="H24" s="66" t="s">
        <v>17</v>
      </c>
      <c r="I24" s="68" t="s">
        <v>18</v>
      </c>
      <c r="J24" s="68" t="s">
        <v>174</v>
      </c>
      <c r="K24" s="113"/>
      <c r="L24" s="162" t="s">
        <v>205</v>
      </c>
      <c r="M24" s="162" t="s">
        <v>205</v>
      </c>
      <c r="N24" s="162" t="s">
        <v>205</v>
      </c>
      <c r="O24" s="68" t="s">
        <v>15</v>
      </c>
      <c r="P24" s="112">
        <v>10</v>
      </c>
      <c r="Q24" s="68" t="s">
        <v>184</v>
      </c>
      <c r="R24" s="68" t="s">
        <v>16</v>
      </c>
      <c r="S24" s="112"/>
      <c r="T24" s="66">
        <v>10</v>
      </c>
      <c r="U24" s="66" t="s">
        <v>61</v>
      </c>
      <c r="V24" s="66">
        <f>VLOOKUP(U24,Tables!M$5:O$8,3,FALSE)</f>
        <v>1000</v>
      </c>
      <c r="W24" s="66">
        <f>T24*V24</f>
        <v>10000</v>
      </c>
      <c r="X24" s="66"/>
      <c r="Y24" s="66" t="str">
        <f>O24</f>
        <v>EC50</v>
      </c>
      <c r="Z24" s="71">
        <f>VLOOKUP(Y24,Tables!C$5:D$19,2,FALSE)</f>
        <v>5</v>
      </c>
      <c r="AA24" s="72">
        <f>W24/Z24</f>
        <v>2000</v>
      </c>
      <c r="AB24" s="73" t="str">
        <f>R24</f>
        <v>Chronic</v>
      </c>
      <c r="AC24" s="71">
        <f>VLOOKUP(AB24,Tables!C$22:D$23,2,FALSE)</f>
        <v>1</v>
      </c>
      <c r="AD24" s="74">
        <f>AA24/AC24</f>
        <v>2000</v>
      </c>
      <c r="AE24" s="117" t="s">
        <v>239</v>
      </c>
      <c r="AF24" s="131" t="str">
        <f>E24</f>
        <v>Chlorococcum sp.</v>
      </c>
      <c r="AG24" s="83" t="str">
        <f>O24</f>
        <v>EC50</v>
      </c>
      <c r="AH24" s="83" t="str">
        <f>R24</f>
        <v>Chronic</v>
      </c>
      <c r="AI24" s="83"/>
      <c r="AJ24" s="71">
        <f>VLOOKUP(SUM(Z24,AC24),Tables!J$5:K$10,2,FALSE)</f>
        <v>2</v>
      </c>
      <c r="AK24" s="75" t="str">
        <f>IF(AJ24=MIN($AJ$23:$AJ$24),"YES!!!","Reject")</f>
        <v>YES!!!</v>
      </c>
      <c r="AL24" s="77" t="str">
        <f>N24</f>
        <v>Biomass yield, growth rate, area under the growth curve</v>
      </c>
      <c r="AM24" s="68" t="s">
        <v>105</v>
      </c>
      <c r="AN24" s="66" t="str">
        <f>CONCATENATE(P24," ",Q24)</f>
        <v>10 Day</v>
      </c>
      <c r="AO24" s="68" t="s">
        <v>106</v>
      </c>
      <c r="AP24" s="106"/>
      <c r="AQ24" s="74">
        <f>AD24</f>
        <v>2000</v>
      </c>
      <c r="AR24" s="77"/>
      <c r="AS24" s="77"/>
      <c r="AT24" s="67"/>
      <c r="AU24" s="117" t="s">
        <v>239</v>
      </c>
      <c r="AV24" s="113"/>
      <c r="AW24" s="113"/>
      <c r="AX24" s="113"/>
      <c r="AY24" s="114"/>
      <c r="AZ24" s="113"/>
      <c r="BA24" s="113"/>
      <c r="BB24" s="113"/>
      <c r="BC24" s="113"/>
      <c r="BD24" s="113"/>
      <c r="BE24" s="113"/>
      <c r="BF24" s="113"/>
      <c r="BG24" s="113"/>
      <c r="BH24" s="113"/>
      <c r="BI24" s="110"/>
      <c r="BJ24" s="87" t="s">
        <v>85</v>
      </c>
      <c r="BK24" s="135" t="s">
        <v>117</v>
      </c>
      <c r="BL24" s="87" t="s">
        <v>83</v>
      </c>
      <c r="BM24" s="95" t="s">
        <v>84</v>
      </c>
      <c r="BN24" s="95" t="s">
        <v>18</v>
      </c>
      <c r="BO24" s="96">
        <v>4</v>
      </c>
      <c r="BP24" s="87">
        <v>0.67400000000000004</v>
      </c>
      <c r="BQ24" s="122" t="s">
        <v>239</v>
      </c>
      <c r="BR24" s="126" t="s">
        <v>234</v>
      </c>
      <c r="BS24" s="110"/>
      <c r="CA24"/>
    </row>
    <row r="25" spans="1:82" s="110" customFormat="1" ht="16.5" hidden="1" thickTop="1" thickBot="1">
      <c r="A25" s="40"/>
      <c r="B25" s="40"/>
      <c r="C25" s="34"/>
      <c r="D25" s="34"/>
      <c r="E25" s="168"/>
      <c r="F25" s="34"/>
      <c r="G25" s="34"/>
      <c r="H25" s="40"/>
      <c r="I25" s="40"/>
      <c r="J25" s="40"/>
      <c r="K25" s="34"/>
      <c r="L25" s="163"/>
      <c r="M25" s="163"/>
      <c r="N25" s="163"/>
      <c r="O25" s="40"/>
      <c r="P25" s="40"/>
      <c r="Q25" s="40"/>
      <c r="R25" s="40"/>
      <c r="S25" s="40"/>
      <c r="T25" s="40"/>
      <c r="U25" s="40"/>
      <c r="V25" s="70"/>
      <c r="W25" s="70"/>
      <c r="X25" s="34"/>
      <c r="Y25" s="40"/>
      <c r="Z25" s="40"/>
      <c r="AA25" s="70"/>
      <c r="AB25" s="40"/>
      <c r="AC25" s="40"/>
      <c r="AD25" s="70"/>
      <c r="AE25" s="40"/>
      <c r="AF25" s="100"/>
      <c r="AG25" s="81"/>
      <c r="AH25" s="81"/>
      <c r="AI25" s="34"/>
      <c r="AJ25" s="34"/>
      <c r="AK25" s="34"/>
      <c r="AL25" s="34"/>
      <c r="AM25" s="40"/>
      <c r="AN25" s="40"/>
      <c r="AO25" s="40"/>
      <c r="AP25" s="34"/>
      <c r="AQ25" s="70"/>
      <c r="AR25" s="34"/>
      <c r="AS25" s="34"/>
      <c r="AT25" s="34"/>
      <c r="AU25" s="40"/>
      <c r="AV25" s="50"/>
      <c r="AW25" s="50"/>
      <c r="AX25" s="90"/>
      <c r="AY25" s="100"/>
      <c r="AZ25" s="34"/>
      <c r="BA25" s="34"/>
      <c r="BB25" s="34"/>
      <c r="BC25" s="34"/>
      <c r="BD25" s="34"/>
      <c r="BE25" s="89"/>
      <c r="BF25" s="89"/>
      <c r="BG25" s="50"/>
      <c r="BH25" s="50"/>
      <c r="BJ25" s="123" t="s">
        <v>198</v>
      </c>
      <c r="BK25" s="134" t="s">
        <v>156</v>
      </c>
      <c r="BL25" s="123" t="s">
        <v>193</v>
      </c>
      <c r="BM25" s="124" t="s">
        <v>194</v>
      </c>
      <c r="BN25" s="124" t="s">
        <v>18</v>
      </c>
      <c r="BO25" s="125">
        <v>4</v>
      </c>
      <c r="BP25" s="123">
        <v>3.6</v>
      </c>
      <c r="BQ25" s="122" t="s">
        <v>239</v>
      </c>
      <c r="BR25" s="126" t="s">
        <v>234</v>
      </c>
      <c r="CA25" s="111"/>
    </row>
    <row r="26" spans="1:82" s="110" customFormat="1" ht="16.5" hidden="1" thickTop="1" thickBot="1">
      <c r="A26" s="68">
        <v>1663</v>
      </c>
      <c r="B26" s="7" t="s">
        <v>128</v>
      </c>
      <c r="C26" s="2"/>
      <c r="D26" s="65" t="s">
        <v>112</v>
      </c>
      <c r="E26" s="128" t="s">
        <v>129</v>
      </c>
      <c r="F26" s="65" t="s">
        <v>187</v>
      </c>
      <c r="G26" s="65" t="s">
        <v>188</v>
      </c>
      <c r="H26" s="4" t="s">
        <v>199</v>
      </c>
      <c r="I26" s="66" t="s">
        <v>56</v>
      </c>
      <c r="J26" s="7" t="s">
        <v>127</v>
      </c>
      <c r="K26" s="2"/>
      <c r="L26" s="162" t="s">
        <v>51</v>
      </c>
      <c r="M26" s="162" t="s">
        <v>51</v>
      </c>
      <c r="N26" s="162" t="s">
        <v>51</v>
      </c>
      <c r="O26" s="68" t="s">
        <v>20</v>
      </c>
      <c r="P26" s="7">
        <v>96</v>
      </c>
      <c r="Q26" s="66" t="s">
        <v>89</v>
      </c>
      <c r="R26" s="66" t="s">
        <v>48</v>
      </c>
      <c r="S26" s="4"/>
      <c r="T26" s="82">
        <v>5.8</v>
      </c>
      <c r="U26" s="66" t="s">
        <v>90</v>
      </c>
      <c r="V26" s="66">
        <f>VLOOKUP(U26,Tables!M$5:O$8,3,FALSE)</f>
        <v>1000</v>
      </c>
      <c r="W26" s="66">
        <f t="shared" si="0"/>
        <v>5800</v>
      </c>
      <c r="X26" s="66"/>
      <c r="Y26" s="66" t="str">
        <f>O26</f>
        <v>LC50</v>
      </c>
      <c r="Z26" s="71">
        <f>VLOOKUP(Y26,Tables!C$5:D$19,2,FALSE)</f>
        <v>5</v>
      </c>
      <c r="AA26" s="72">
        <f>W26/Z26</f>
        <v>1160</v>
      </c>
      <c r="AB26" s="73" t="str">
        <f>R26</f>
        <v>Acute</v>
      </c>
      <c r="AC26" s="71">
        <f>VLOOKUP(AB26,Tables!C$22:D$23,2,FALSE)</f>
        <v>2</v>
      </c>
      <c r="AD26" s="74">
        <f>AA26/AC26</f>
        <v>580</v>
      </c>
      <c r="AE26" s="117" t="s">
        <v>239</v>
      </c>
      <c r="AF26" s="131" t="str">
        <f>E26</f>
        <v>Cyprinodon variegatus</v>
      </c>
      <c r="AG26" s="83" t="str">
        <f>O26</f>
        <v>LC50</v>
      </c>
      <c r="AH26" s="83" t="str">
        <f>R26</f>
        <v>Acute</v>
      </c>
      <c r="AI26" s="83"/>
      <c r="AJ26" s="71">
        <f>VLOOKUP(SUM(Z26,AC26),Tables!J$5:K$10,2,FALSE)</f>
        <v>4</v>
      </c>
      <c r="AK26" s="63" t="str">
        <f>IF(AJ26=MIN($AJ$26:$AJ$27),"YES!!!","Reject")</f>
        <v>YES!!!</v>
      </c>
      <c r="AL26" s="77" t="str">
        <f>N26</f>
        <v>Mortality</v>
      </c>
      <c r="AM26" s="68" t="s">
        <v>105</v>
      </c>
      <c r="AN26" s="66" t="str">
        <f>CONCATENATE(P26," ",Q26)</f>
        <v>96 Hour</v>
      </c>
      <c r="AO26" s="68" t="s">
        <v>106</v>
      </c>
      <c r="AP26" s="106"/>
      <c r="AQ26" s="74">
        <f>AD26</f>
        <v>580</v>
      </c>
      <c r="AR26" s="77">
        <f>GEOMEAN(AQ26)</f>
        <v>580</v>
      </c>
      <c r="AS26" s="77">
        <f>MIN(AR26)</f>
        <v>580</v>
      </c>
      <c r="AT26" s="77">
        <f>MIN(AS26)</f>
        <v>580</v>
      </c>
      <c r="AU26" s="117" t="s">
        <v>239</v>
      </c>
      <c r="AV26" s="65"/>
      <c r="AW26" s="65"/>
      <c r="AX26" s="77" t="str">
        <f>H26</f>
        <v>Fish</v>
      </c>
      <c r="AY26" s="102" t="str">
        <f>E26</f>
        <v>Cyprinodon variegatus</v>
      </c>
      <c r="AZ26" s="77" t="str">
        <f>F26</f>
        <v>Chordata</v>
      </c>
      <c r="BA26" s="97" t="str">
        <f>G26</f>
        <v>Actinopterygii</v>
      </c>
      <c r="BB26" s="97" t="str">
        <f>I26</f>
        <v>Heterotroph</v>
      </c>
      <c r="BC26" s="86">
        <f>AJ26</f>
        <v>4</v>
      </c>
      <c r="BD26" s="77">
        <f>AT26</f>
        <v>580</v>
      </c>
      <c r="BE26" s="117" t="s">
        <v>239</v>
      </c>
      <c r="BF26" s="117" t="s">
        <v>239</v>
      </c>
      <c r="BG26" s="112"/>
      <c r="BH26" s="112"/>
      <c r="BI26" s="65"/>
      <c r="BJ26" s="87" t="s">
        <v>103</v>
      </c>
      <c r="BK26" s="133" t="s">
        <v>101</v>
      </c>
      <c r="BL26" s="87" t="s">
        <v>88</v>
      </c>
      <c r="BM26" s="95" t="s">
        <v>102</v>
      </c>
      <c r="BN26" s="95" t="s">
        <v>56</v>
      </c>
      <c r="BO26" s="96">
        <v>1</v>
      </c>
      <c r="BP26" s="87">
        <v>50</v>
      </c>
      <c r="BQ26" s="122" t="s">
        <v>239</v>
      </c>
      <c r="BR26" s="126"/>
      <c r="BS26" s="65"/>
      <c r="CA26" s="111"/>
    </row>
    <row r="27" spans="1:82" s="65" customFormat="1" ht="16.5" hidden="1" thickTop="1" thickBot="1">
      <c r="A27" s="68">
        <v>1663</v>
      </c>
      <c r="B27" s="7" t="s">
        <v>128</v>
      </c>
      <c r="C27" s="2"/>
      <c r="D27" s="65" t="s">
        <v>112</v>
      </c>
      <c r="E27" s="128" t="s">
        <v>129</v>
      </c>
      <c r="F27" s="65" t="s">
        <v>187</v>
      </c>
      <c r="G27" s="65" t="s">
        <v>188</v>
      </c>
      <c r="H27" s="4" t="s">
        <v>199</v>
      </c>
      <c r="I27" s="66" t="s">
        <v>56</v>
      </c>
      <c r="J27" s="7" t="s">
        <v>127</v>
      </c>
      <c r="K27" s="2"/>
      <c r="L27" s="162" t="s">
        <v>51</v>
      </c>
      <c r="M27" s="162" t="s">
        <v>51</v>
      </c>
      <c r="N27" s="162" t="s">
        <v>51</v>
      </c>
      <c r="O27" s="68" t="s">
        <v>109</v>
      </c>
      <c r="P27" s="7">
        <v>96</v>
      </c>
      <c r="Q27" s="66" t="s">
        <v>89</v>
      </c>
      <c r="R27" s="66" t="s">
        <v>48</v>
      </c>
      <c r="S27" s="4"/>
      <c r="T27" s="82">
        <v>2.8</v>
      </c>
      <c r="U27" s="66" t="s">
        <v>90</v>
      </c>
      <c r="V27" s="66">
        <f>VLOOKUP(U27,Tables!M$5:O$8,3,FALSE)</f>
        <v>1000</v>
      </c>
      <c r="W27" s="66">
        <f t="shared" si="0"/>
        <v>2800</v>
      </c>
      <c r="X27" s="66"/>
      <c r="Y27" s="66" t="str">
        <f>O27</f>
        <v>NOEL</v>
      </c>
      <c r="Z27" s="71">
        <f>VLOOKUP(Y27,Tables!C$5:D$19,2,FALSE)</f>
        <v>1</v>
      </c>
      <c r="AA27" s="72">
        <f>W27/Z27</f>
        <v>2800</v>
      </c>
      <c r="AB27" s="73" t="str">
        <f>R27</f>
        <v>Acute</v>
      </c>
      <c r="AC27" s="71">
        <f>VLOOKUP(AB27,Tables!C$22:D$23,2,FALSE)</f>
        <v>2</v>
      </c>
      <c r="AD27" s="74">
        <f>AA27/AC27</f>
        <v>1400</v>
      </c>
      <c r="AE27" s="117" t="s">
        <v>239</v>
      </c>
      <c r="AF27" s="131" t="str">
        <f>E27</f>
        <v>Cyprinodon variegatus</v>
      </c>
      <c r="AG27" s="83" t="str">
        <f>O27</f>
        <v>NOEL</v>
      </c>
      <c r="AH27" s="83" t="str">
        <f>R27</f>
        <v>Acute</v>
      </c>
      <c r="AI27" s="83"/>
      <c r="AJ27" s="71" t="str">
        <f>VLOOKUP(SUM(Z27,AC27),Tables!J$5:K$10,2,FALSE)</f>
        <v>Do Not Use</v>
      </c>
      <c r="AK27" s="63" t="str">
        <f>IF(AJ27=MIN($AJ$26:$AJ$27),"YES!!!","Reject")</f>
        <v>Reject</v>
      </c>
      <c r="AL27" s="77"/>
      <c r="AM27" s="68"/>
      <c r="AN27" s="66"/>
      <c r="AO27" s="68"/>
      <c r="AP27" s="2"/>
      <c r="AQ27" s="74"/>
      <c r="AR27" s="77"/>
      <c r="AS27" s="77"/>
      <c r="AT27" s="77"/>
      <c r="AU27" s="117" t="s">
        <v>239</v>
      </c>
      <c r="AX27" s="77"/>
      <c r="AY27" s="102"/>
      <c r="AZ27" s="77"/>
      <c r="BA27" s="85"/>
      <c r="BB27" s="85"/>
      <c r="BC27" s="86"/>
      <c r="BD27" s="77"/>
      <c r="BE27" s="77"/>
      <c r="BF27" s="87"/>
      <c r="BG27" s="87"/>
      <c r="BH27" s="87"/>
      <c r="BI27" s="2"/>
      <c r="BJ27" s="87" t="s">
        <v>103</v>
      </c>
      <c r="BK27" s="137" t="s">
        <v>160</v>
      </c>
      <c r="BL27" s="87" t="s">
        <v>88</v>
      </c>
      <c r="BM27" s="95" t="s">
        <v>182</v>
      </c>
      <c r="BN27" s="95" t="s">
        <v>56</v>
      </c>
      <c r="BO27" s="96">
        <v>1</v>
      </c>
      <c r="BP27" s="87">
        <v>240</v>
      </c>
      <c r="BQ27" s="122" t="s">
        <v>239</v>
      </c>
      <c r="BR27" s="126"/>
      <c r="BS27" s="2"/>
      <c r="CA27"/>
    </row>
    <row r="28" spans="1:82" s="2" customFormat="1" ht="16.5" hidden="1" thickTop="1" thickBot="1">
      <c r="A28" s="40"/>
      <c r="B28" s="40"/>
      <c r="C28" s="34"/>
      <c r="D28" s="34"/>
      <c r="E28" s="168"/>
      <c r="F28" s="34"/>
      <c r="G28" s="34"/>
      <c r="H28" s="40"/>
      <c r="I28" s="40"/>
      <c r="J28" s="40"/>
      <c r="K28" s="34"/>
      <c r="L28" s="163"/>
      <c r="M28" s="163"/>
      <c r="N28" s="163"/>
      <c r="O28" s="40"/>
      <c r="P28" s="40"/>
      <c r="Q28" s="40"/>
      <c r="R28" s="40"/>
      <c r="S28" s="40"/>
      <c r="T28" s="40"/>
      <c r="U28" s="40"/>
      <c r="V28" s="70"/>
      <c r="W28" s="70"/>
      <c r="X28" s="34"/>
      <c r="Y28" s="40"/>
      <c r="Z28" s="40"/>
      <c r="AA28" s="70"/>
      <c r="AB28" s="40"/>
      <c r="AC28" s="40"/>
      <c r="AD28" s="70"/>
      <c r="AE28" s="40"/>
      <c r="AF28" s="100"/>
      <c r="AG28" s="81"/>
      <c r="AH28" s="81"/>
      <c r="AI28" s="34"/>
      <c r="AJ28" s="34"/>
      <c r="AK28" s="34"/>
      <c r="AL28" s="34"/>
      <c r="AM28" s="40"/>
      <c r="AN28" s="40"/>
      <c r="AO28" s="40"/>
      <c r="AP28" s="34"/>
      <c r="AQ28" s="70"/>
      <c r="AR28" s="34"/>
      <c r="AS28" s="34"/>
      <c r="AT28" s="34"/>
      <c r="AU28" s="40"/>
      <c r="AV28" s="50"/>
      <c r="AW28" s="50"/>
      <c r="AX28" s="90"/>
      <c r="AY28" s="100"/>
      <c r="AZ28" s="34"/>
      <c r="BA28" s="34"/>
      <c r="BB28" s="34"/>
      <c r="BC28" s="34"/>
      <c r="BD28" s="34"/>
      <c r="BE28" s="89"/>
      <c r="BF28" s="89"/>
      <c r="BG28" s="50"/>
      <c r="BH28" s="50"/>
      <c r="BJ28" s="87" t="s">
        <v>199</v>
      </c>
      <c r="BK28" s="137" t="s">
        <v>126</v>
      </c>
      <c r="BL28" s="87" t="s">
        <v>187</v>
      </c>
      <c r="BM28" s="95" t="s">
        <v>188</v>
      </c>
      <c r="BN28" s="95" t="s">
        <v>56</v>
      </c>
      <c r="BO28" s="96">
        <v>1</v>
      </c>
      <c r="BP28" s="87">
        <v>700</v>
      </c>
      <c r="BQ28" s="122" t="s">
        <v>239</v>
      </c>
      <c r="BR28" s="126"/>
      <c r="CD28"/>
    </row>
    <row r="29" spans="1:82" s="2" customFormat="1" ht="16.5" thickTop="1" thickBot="1">
      <c r="A29" s="68">
        <v>12134</v>
      </c>
      <c r="B29" s="7" t="s">
        <v>166</v>
      </c>
      <c r="D29" s="6" t="s">
        <v>80</v>
      </c>
      <c r="E29" s="128" t="s">
        <v>160</v>
      </c>
      <c r="F29" s="65" t="s">
        <v>88</v>
      </c>
      <c r="G29" s="65" t="s">
        <v>182</v>
      </c>
      <c r="H29" s="4" t="s">
        <v>103</v>
      </c>
      <c r="I29" s="66" t="s">
        <v>56</v>
      </c>
      <c r="J29" s="7" t="s">
        <v>167</v>
      </c>
      <c r="L29" s="162" t="s">
        <v>181</v>
      </c>
      <c r="M29" s="162" t="s">
        <v>181</v>
      </c>
      <c r="N29" s="162" t="s">
        <v>181</v>
      </c>
      <c r="O29" s="68" t="s">
        <v>22</v>
      </c>
      <c r="P29" s="7">
        <v>21</v>
      </c>
      <c r="Q29" s="7" t="s">
        <v>184</v>
      </c>
      <c r="R29" s="66" t="s">
        <v>16</v>
      </c>
      <c r="S29" s="4"/>
      <c r="T29" s="82">
        <v>0.32</v>
      </c>
      <c r="U29" s="4" t="s">
        <v>90</v>
      </c>
      <c r="V29" s="66">
        <f>VLOOKUP(U29,Tables!M$5:O$8,3,FALSE)</f>
        <v>1000</v>
      </c>
      <c r="W29" s="66">
        <f t="shared" si="0"/>
        <v>320</v>
      </c>
      <c r="X29" s="6"/>
      <c r="Y29" s="71" t="str">
        <f t="shared" ref="Y29:Y37" si="1">O29</f>
        <v>LOEC</v>
      </c>
      <c r="Z29" s="71">
        <f>VLOOKUP(Y29,Tables!C$5:D$19,2,FALSE)</f>
        <v>2.5</v>
      </c>
      <c r="AA29" s="72">
        <f t="shared" ref="AA29:AA37" si="2">W29/Z29</f>
        <v>128</v>
      </c>
      <c r="AB29" s="73" t="str">
        <f t="shared" ref="AB29:AB37" si="3">R29</f>
        <v>Chronic</v>
      </c>
      <c r="AC29" s="71">
        <f>VLOOKUP(AB29,Tables!C$22:D$23,2,FALSE)</f>
        <v>1</v>
      </c>
      <c r="AD29" s="74">
        <f t="shared" ref="AD29:AD37" si="4">AA29/AC29</f>
        <v>128</v>
      </c>
      <c r="AE29" s="117" t="s">
        <v>239</v>
      </c>
      <c r="AF29" s="131" t="str">
        <f t="shared" ref="AF29:AF34" si="5">E29</f>
        <v>Daphnia magna</v>
      </c>
      <c r="AG29" s="83" t="str">
        <f t="shared" ref="AG29:AG34" si="6">O29</f>
        <v>LOEC</v>
      </c>
      <c r="AH29" s="83" t="str">
        <f t="shared" ref="AH29:AH34" si="7">R29</f>
        <v>Chronic</v>
      </c>
      <c r="AI29" s="83"/>
      <c r="AJ29" s="71">
        <f>VLOOKUP(SUM(Z29,AC29),Tables!J$5:K$10,2,FALSE)</f>
        <v>2</v>
      </c>
      <c r="AK29" s="63" t="str">
        <f t="shared" ref="AK29:AK34" si="8">IF(AJ29=MIN($AJ$29:$AJ$34),"YES!!!","Reject")</f>
        <v>Reject</v>
      </c>
      <c r="AL29" s="77"/>
      <c r="AM29" s="68"/>
      <c r="AN29" s="68"/>
      <c r="AO29" s="68"/>
      <c r="AQ29" s="78"/>
      <c r="AR29" s="6"/>
      <c r="AS29" s="6"/>
      <c r="AT29" s="6"/>
      <c r="AU29" s="117" t="s">
        <v>239</v>
      </c>
      <c r="AV29" s="65"/>
      <c r="AW29" s="65"/>
      <c r="AX29" s="6"/>
      <c r="AY29" s="99"/>
      <c r="AZ29" s="6"/>
      <c r="BA29" s="6"/>
      <c r="BB29" s="6"/>
      <c r="BC29" s="6"/>
      <c r="BD29" s="6"/>
      <c r="BE29" s="67"/>
      <c r="BF29" s="106"/>
      <c r="BG29" s="106"/>
      <c r="BH29" s="106"/>
      <c r="BJ29" s="87" t="s">
        <v>199</v>
      </c>
      <c r="BK29" s="135" t="s">
        <v>136</v>
      </c>
      <c r="BL29" s="87" t="s">
        <v>187</v>
      </c>
      <c r="BM29" s="95" t="s">
        <v>188</v>
      </c>
      <c r="BN29" s="95" t="s">
        <v>56</v>
      </c>
      <c r="BO29" s="96">
        <v>4</v>
      </c>
      <c r="BP29" s="87">
        <v>1400</v>
      </c>
      <c r="BQ29" s="122" t="s">
        <v>239</v>
      </c>
      <c r="BR29" s="126"/>
      <c r="CD29"/>
    </row>
    <row r="30" spans="1:82" s="2" customFormat="1" ht="16.5" thickTop="1" thickBot="1">
      <c r="A30" s="68">
        <v>12134</v>
      </c>
      <c r="B30" s="7" t="s">
        <v>166</v>
      </c>
      <c r="D30" s="6" t="s">
        <v>80</v>
      </c>
      <c r="E30" s="128" t="s">
        <v>160</v>
      </c>
      <c r="F30" s="65" t="s">
        <v>88</v>
      </c>
      <c r="G30" s="65" t="s">
        <v>182</v>
      </c>
      <c r="H30" s="66" t="s">
        <v>103</v>
      </c>
      <c r="I30" s="66" t="s">
        <v>56</v>
      </c>
      <c r="J30" s="7" t="s">
        <v>167</v>
      </c>
      <c r="L30" s="162" t="s">
        <v>181</v>
      </c>
      <c r="M30" s="162" t="s">
        <v>181</v>
      </c>
      <c r="N30" s="162" t="s">
        <v>181</v>
      </c>
      <c r="O30" s="68" t="s">
        <v>109</v>
      </c>
      <c r="P30" s="7">
        <v>21</v>
      </c>
      <c r="Q30" s="7" t="s">
        <v>184</v>
      </c>
      <c r="R30" s="66" t="s">
        <v>16</v>
      </c>
      <c r="S30" s="4"/>
      <c r="T30" s="82">
        <v>0.24</v>
      </c>
      <c r="U30" s="4" t="s">
        <v>90</v>
      </c>
      <c r="V30" s="66">
        <f>VLOOKUP(U30,Tables!M$5:O$8,3,FALSE)</f>
        <v>1000</v>
      </c>
      <c r="W30" s="66">
        <f t="shared" si="0"/>
        <v>240</v>
      </c>
      <c r="X30" s="6"/>
      <c r="Y30" s="71" t="str">
        <f t="shared" si="1"/>
        <v>NOEL</v>
      </c>
      <c r="Z30" s="71">
        <f>VLOOKUP(Y30,Tables!C$5:D$19,2,FALSE)</f>
        <v>1</v>
      </c>
      <c r="AA30" s="72">
        <f t="shared" si="2"/>
        <v>240</v>
      </c>
      <c r="AB30" s="73" t="str">
        <f t="shared" si="3"/>
        <v>Chronic</v>
      </c>
      <c r="AC30" s="71">
        <f>VLOOKUP(AB30,Tables!C$22:D$23,2,FALSE)</f>
        <v>1</v>
      </c>
      <c r="AD30" s="74">
        <f t="shared" si="4"/>
        <v>240</v>
      </c>
      <c r="AE30" s="117" t="s">
        <v>239</v>
      </c>
      <c r="AF30" s="131" t="str">
        <f t="shared" si="5"/>
        <v>Daphnia magna</v>
      </c>
      <c r="AG30" s="83" t="str">
        <f t="shared" si="6"/>
        <v>NOEL</v>
      </c>
      <c r="AH30" s="83" t="str">
        <f t="shared" si="7"/>
        <v>Chronic</v>
      </c>
      <c r="AI30" s="83"/>
      <c r="AJ30" s="71">
        <f>VLOOKUP(SUM(Z30,AC30),Tables!J$5:K$10,2,FALSE)</f>
        <v>1</v>
      </c>
      <c r="AK30" s="63" t="str">
        <f t="shared" si="8"/>
        <v>YES!!!</v>
      </c>
      <c r="AL30" s="77" t="str">
        <f>N30</f>
        <v>Immobilisation</v>
      </c>
      <c r="AM30" s="68" t="s">
        <v>105</v>
      </c>
      <c r="AN30" s="66" t="str">
        <f>CONCATENATE(P30," ",Q30)</f>
        <v>21 Day</v>
      </c>
      <c r="AO30" s="68" t="s">
        <v>106</v>
      </c>
      <c r="AQ30" s="74">
        <f>AD30</f>
        <v>240</v>
      </c>
      <c r="AR30" s="77">
        <f>GEOMEAN(AQ30)</f>
        <v>240</v>
      </c>
      <c r="AS30" s="77">
        <f>MIN(AR30)</f>
        <v>240</v>
      </c>
      <c r="AT30" s="77">
        <f>MIN(AS30)</f>
        <v>240</v>
      </c>
      <c r="AU30" s="117" t="s">
        <v>239</v>
      </c>
      <c r="AV30" s="65"/>
      <c r="AW30" s="65"/>
      <c r="AX30" s="77" t="str">
        <f>H30</f>
        <v>Macroinvertebrate</v>
      </c>
      <c r="AY30" s="102" t="str">
        <f>E30</f>
        <v>Daphnia magna</v>
      </c>
      <c r="AZ30" s="77" t="str">
        <f>F30</f>
        <v>Arthropoda</v>
      </c>
      <c r="BA30" s="97" t="str">
        <f>G30</f>
        <v>Branchiopoda</v>
      </c>
      <c r="BB30" s="97" t="str">
        <f>I30</f>
        <v>Heterotroph</v>
      </c>
      <c r="BC30" s="86">
        <f>AJ30</f>
        <v>1</v>
      </c>
      <c r="BD30" s="77">
        <f>AT30</f>
        <v>240</v>
      </c>
      <c r="BE30" s="117" t="s">
        <v>239</v>
      </c>
      <c r="BF30" s="117" t="s">
        <v>239</v>
      </c>
      <c r="BG30" s="112"/>
      <c r="BH30" s="112"/>
      <c r="BI30" s="67"/>
      <c r="BJ30" s="87" t="s">
        <v>199</v>
      </c>
      <c r="BK30" s="133" t="s">
        <v>129</v>
      </c>
      <c r="BL30" s="87" t="s">
        <v>187</v>
      </c>
      <c r="BM30" s="95" t="s">
        <v>188</v>
      </c>
      <c r="BN30" s="95" t="s">
        <v>56</v>
      </c>
      <c r="BO30" s="96">
        <v>4</v>
      </c>
      <c r="BP30" s="87">
        <v>580</v>
      </c>
      <c r="BQ30" s="122" t="s">
        <v>239</v>
      </c>
      <c r="BR30" s="126"/>
      <c r="BS30" s="65"/>
      <c r="CD30"/>
    </row>
    <row r="31" spans="1:82" s="65" customFormat="1" ht="16.5" thickTop="1" thickBot="1">
      <c r="A31" s="68">
        <v>1656</v>
      </c>
      <c r="B31" s="7" t="s">
        <v>159</v>
      </c>
      <c r="C31" s="2"/>
      <c r="D31" s="6" t="s">
        <v>80</v>
      </c>
      <c r="E31" s="128" t="s">
        <v>160</v>
      </c>
      <c r="F31" s="2" t="s">
        <v>88</v>
      </c>
      <c r="G31" s="2" t="s">
        <v>182</v>
      </c>
      <c r="H31" s="66" t="s">
        <v>103</v>
      </c>
      <c r="I31" s="66" t="s">
        <v>56</v>
      </c>
      <c r="J31" s="7" t="s">
        <v>161</v>
      </c>
      <c r="K31" s="2"/>
      <c r="L31" s="162" t="s">
        <v>181</v>
      </c>
      <c r="M31" s="162" t="s">
        <v>181</v>
      </c>
      <c r="N31" s="162" t="s">
        <v>181</v>
      </c>
      <c r="O31" s="68" t="s">
        <v>15</v>
      </c>
      <c r="P31" s="7">
        <v>48</v>
      </c>
      <c r="Q31" s="66" t="s">
        <v>89</v>
      </c>
      <c r="R31" s="66" t="s">
        <v>48</v>
      </c>
      <c r="S31" s="4"/>
      <c r="T31" s="82">
        <v>28</v>
      </c>
      <c r="U31" s="4" t="s">
        <v>90</v>
      </c>
      <c r="V31" s="66">
        <f>VLOOKUP(U31,Tables!M$5:O$8,3,FALSE)</f>
        <v>1000</v>
      </c>
      <c r="W31" s="66">
        <f t="shared" si="0"/>
        <v>28000</v>
      </c>
      <c r="X31" s="6"/>
      <c r="Y31" s="71" t="str">
        <f t="shared" si="1"/>
        <v>EC50</v>
      </c>
      <c r="Z31" s="71">
        <f>VLOOKUP(Y31,Tables!C$5:D$19,2,FALSE)</f>
        <v>5</v>
      </c>
      <c r="AA31" s="72">
        <f t="shared" si="2"/>
        <v>5600</v>
      </c>
      <c r="AB31" s="73" t="str">
        <f t="shared" si="3"/>
        <v>Acute</v>
      </c>
      <c r="AC31" s="71">
        <f>VLOOKUP(AB31,Tables!C$22:D$23,2,FALSE)</f>
        <v>2</v>
      </c>
      <c r="AD31" s="74">
        <f t="shared" si="4"/>
        <v>2800</v>
      </c>
      <c r="AE31" s="117" t="s">
        <v>239</v>
      </c>
      <c r="AF31" s="131" t="str">
        <f t="shared" si="5"/>
        <v>Daphnia magna</v>
      </c>
      <c r="AG31" s="83" t="str">
        <f t="shared" si="6"/>
        <v>EC50</v>
      </c>
      <c r="AH31" s="83" t="str">
        <f t="shared" si="7"/>
        <v>Acute</v>
      </c>
      <c r="AI31" s="83"/>
      <c r="AJ31" s="71">
        <f>VLOOKUP(SUM(Z31,AC31),Tables!J$5:K$10,2,FALSE)</f>
        <v>4</v>
      </c>
      <c r="AK31" s="63" t="str">
        <f t="shared" si="8"/>
        <v>Reject</v>
      </c>
      <c r="AL31" s="77"/>
      <c r="AM31" s="68"/>
      <c r="AN31" s="68"/>
      <c r="AO31" s="68"/>
      <c r="AP31" s="2"/>
      <c r="AQ31" s="78"/>
      <c r="AR31" s="6"/>
      <c r="AS31" s="6"/>
      <c r="AT31" s="6"/>
      <c r="AU31" s="117" t="s">
        <v>239</v>
      </c>
      <c r="AX31" s="77"/>
      <c r="AY31" s="102"/>
      <c r="AZ31" s="77"/>
      <c r="BA31" s="85"/>
      <c r="BB31" s="85"/>
      <c r="BC31" s="86"/>
      <c r="BD31" s="77"/>
      <c r="BE31" s="77"/>
      <c r="BF31" s="87"/>
      <c r="BG31" s="87"/>
      <c r="BH31" s="87"/>
      <c r="BI31" s="67"/>
      <c r="BJ31" s="87" t="s">
        <v>218</v>
      </c>
      <c r="BK31" s="135" t="s">
        <v>224</v>
      </c>
      <c r="BL31" s="87" t="s">
        <v>88</v>
      </c>
      <c r="BM31" s="95" t="s">
        <v>182</v>
      </c>
      <c r="BN31" s="95" t="s">
        <v>56</v>
      </c>
      <c r="BO31" s="96">
        <v>4</v>
      </c>
      <c r="BP31" s="87">
        <v>3886</v>
      </c>
      <c r="BQ31" s="122" t="s">
        <v>239</v>
      </c>
      <c r="BR31" s="126"/>
      <c r="CD31"/>
    </row>
    <row r="32" spans="1:82" s="65" customFormat="1" ht="16.5" thickTop="1" thickBot="1">
      <c r="A32" s="68">
        <v>1656</v>
      </c>
      <c r="B32" s="7" t="s">
        <v>159</v>
      </c>
      <c r="C32" s="2"/>
      <c r="D32" s="6" t="s">
        <v>80</v>
      </c>
      <c r="E32" s="128" t="s">
        <v>160</v>
      </c>
      <c r="F32" s="2" t="s">
        <v>88</v>
      </c>
      <c r="G32" s="2" t="s">
        <v>182</v>
      </c>
      <c r="H32" s="66" t="s">
        <v>103</v>
      </c>
      <c r="I32" s="66" t="s">
        <v>56</v>
      </c>
      <c r="J32" s="7" t="s">
        <v>161</v>
      </c>
      <c r="K32" s="2"/>
      <c r="L32" s="162" t="s">
        <v>181</v>
      </c>
      <c r="M32" s="162" t="s">
        <v>181</v>
      </c>
      <c r="N32" s="162" t="s">
        <v>181</v>
      </c>
      <c r="O32" s="68" t="s">
        <v>109</v>
      </c>
      <c r="P32" s="7">
        <v>48</v>
      </c>
      <c r="Q32" s="66" t="s">
        <v>89</v>
      </c>
      <c r="R32" s="66" t="s">
        <v>48</v>
      </c>
      <c r="S32" s="4"/>
      <c r="T32" s="82">
        <v>12</v>
      </c>
      <c r="U32" s="4" t="s">
        <v>90</v>
      </c>
      <c r="V32" s="66">
        <f>VLOOKUP(U32,Tables!M$5:O$8,3,FALSE)</f>
        <v>1000</v>
      </c>
      <c r="W32" s="66">
        <f t="shared" si="0"/>
        <v>12000</v>
      </c>
      <c r="X32" s="6"/>
      <c r="Y32" s="71" t="str">
        <f t="shared" si="1"/>
        <v>NOEL</v>
      </c>
      <c r="Z32" s="71">
        <f>VLOOKUP(Y32,Tables!C$5:D$19,2,FALSE)</f>
        <v>1</v>
      </c>
      <c r="AA32" s="72">
        <f t="shared" si="2"/>
        <v>12000</v>
      </c>
      <c r="AB32" s="73" t="str">
        <f t="shared" si="3"/>
        <v>Acute</v>
      </c>
      <c r="AC32" s="71">
        <f>VLOOKUP(AB32,Tables!C$22:D$23,2,FALSE)</f>
        <v>2</v>
      </c>
      <c r="AD32" s="74">
        <f t="shared" si="4"/>
        <v>6000</v>
      </c>
      <c r="AE32" s="117" t="s">
        <v>239</v>
      </c>
      <c r="AF32" s="131" t="str">
        <f t="shared" si="5"/>
        <v>Daphnia magna</v>
      </c>
      <c r="AG32" s="83" t="str">
        <f t="shared" si="6"/>
        <v>NOEL</v>
      </c>
      <c r="AH32" s="83" t="str">
        <f t="shared" si="7"/>
        <v>Acute</v>
      </c>
      <c r="AI32" s="83"/>
      <c r="AJ32" s="71" t="str">
        <f>VLOOKUP(SUM(Z32,AC32),Tables!J$5:K$10,2,FALSE)</f>
        <v>Do Not Use</v>
      </c>
      <c r="AK32" s="63" t="str">
        <f t="shared" si="8"/>
        <v>Reject</v>
      </c>
      <c r="AL32" s="77"/>
      <c r="AM32" s="68"/>
      <c r="AN32" s="68"/>
      <c r="AO32" s="68"/>
      <c r="AP32" s="2"/>
      <c r="AQ32" s="78"/>
      <c r="AR32" s="6"/>
      <c r="AS32" s="6"/>
      <c r="AT32" s="6"/>
      <c r="AU32" s="117" t="s">
        <v>239</v>
      </c>
      <c r="AX32" s="67"/>
      <c r="AY32" s="99"/>
      <c r="AZ32" s="67"/>
      <c r="BA32" s="67"/>
      <c r="BB32" s="67"/>
      <c r="BC32" s="67"/>
      <c r="BD32" s="67"/>
      <c r="BE32" s="67"/>
      <c r="BF32" s="106"/>
      <c r="BG32" s="106"/>
      <c r="BH32" s="106"/>
      <c r="BI32" s="67"/>
      <c r="BJ32" s="87" t="s">
        <v>199</v>
      </c>
      <c r="BK32" s="135" t="s">
        <v>131</v>
      </c>
      <c r="BL32" s="87" t="s">
        <v>187</v>
      </c>
      <c r="BM32" s="95" t="s">
        <v>188</v>
      </c>
      <c r="BN32" s="95" t="s">
        <v>56</v>
      </c>
      <c r="BO32" s="96">
        <v>4</v>
      </c>
      <c r="BP32" s="87">
        <v>505.20561505841317</v>
      </c>
      <c r="BQ32" s="122" t="s">
        <v>239</v>
      </c>
      <c r="BR32" s="126"/>
      <c r="CD32"/>
    </row>
    <row r="33" spans="1:82" s="65" customFormat="1" ht="16.5" thickTop="1" thickBot="1">
      <c r="A33" s="66">
        <v>975</v>
      </c>
      <c r="B33" s="68" t="s">
        <v>216</v>
      </c>
      <c r="C33" s="68"/>
      <c r="D33" s="67" t="s">
        <v>80</v>
      </c>
      <c r="E33" s="128" t="s">
        <v>160</v>
      </c>
      <c r="F33" s="65" t="s">
        <v>88</v>
      </c>
      <c r="G33" s="65" t="s">
        <v>182</v>
      </c>
      <c r="H33" s="66" t="s">
        <v>103</v>
      </c>
      <c r="I33" s="66" t="s">
        <v>56</v>
      </c>
      <c r="J33" s="68" t="s">
        <v>161</v>
      </c>
      <c r="K33" s="68"/>
      <c r="L33" s="162" t="s">
        <v>181</v>
      </c>
      <c r="M33" s="162" t="s">
        <v>181</v>
      </c>
      <c r="N33" s="162" t="s">
        <v>181</v>
      </c>
      <c r="O33" s="66" t="s">
        <v>15</v>
      </c>
      <c r="P33" s="68">
        <v>24</v>
      </c>
      <c r="Q33" s="68" t="s">
        <v>89</v>
      </c>
      <c r="R33" s="66" t="s">
        <v>48</v>
      </c>
      <c r="S33" s="66"/>
      <c r="T33" s="66">
        <v>73</v>
      </c>
      <c r="U33" s="66" t="s">
        <v>61</v>
      </c>
      <c r="V33" s="66">
        <f>VLOOKUP(U33,Tables!M$5:O$8,3,FALSE)</f>
        <v>1000</v>
      </c>
      <c r="W33" s="66">
        <f t="shared" si="0"/>
        <v>73000</v>
      </c>
      <c r="X33" s="66"/>
      <c r="Y33" s="66" t="str">
        <f t="shared" si="1"/>
        <v>EC50</v>
      </c>
      <c r="Z33" s="71">
        <f>VLOOKUP(Y33,Tables!C$5:D$19,2,FALSE)</f>
        <v>5</v>
      </c>
      <c r="AA33" s="72">
        <f t="shared" si="2"/>
        <v>14600</v>
      </c>
      <c r="AB33" s="73" t="str">
        <f t="shared" si="3"/>
        <v>Acute</v>
      </c>
      <c r="AC33" s="71">
        <f>VLOOKUP(AB33,Tables!C$22:D$23,2,FALSE)</f>
        <v>2</v>
      </c>
      <c r="AD33" s="74">
        <f t="shared" si="4"/>
        <v>7300</v>
      </c>
      <c r="AE33" s="117" t="s">
        <v>239</v>
      </c>
      <c r="AF33" s="131" t="str">
        <f t="shared" si="5"/>
        <v>Daphnia magna</v>
      </c>
      <c r="AG33" s="83" t="str">
        <f t="shared" si="6"/>
        <v>EC50</v>
      </c>
      <c r="AH33" s="83" t="str">
        <f t="shared" si="7"/>
        <v>Acute</v>
      </c>
      <c r="AI33" s="83"/>
      <c r="AJ33" s="71">
        <f>VLOOKUP(SUM(Z33,AC33),Tables!J$5:K$10,2,FALSE)</f>
        <v>4</v>
      </c>
      <c r="AK33" s="63" t="str">
        <f t="shared" si="8"/>
        <v>Reject</v>
      </c>
      <c r="AL33" s="77"/>
      <c r="AM33" s="71"/>
      <c r="AN33" s="68"/>
      <c r="AO33" s="68"/>
      <c r="AP33" s="67"/>
      <c r="AR33" s="78"/>
      <c r="AS33" s="67"/>
      <c r="AT33" s="67"/>
      <c r="AU33" s="117" t="s">
        <v>239</v>
      </c>
      <c r="AX33" s="67"/>
      <c r="AY33" s="99"/>
      <c r="AZ33" s="67"/>
      <c r="BA33" s="67"/>
      <c r="BB33" s="67"/>
      <c r="BC33" s="67"/>
      <c r="BD33" s="67"/>
      <c r="BE33" s="67"/>
      <c r="BF33" s="106"/>
      <c r="BG33" s="106"/>
      <c r="BH33" s="106"/>
      <c r="BI33" s="67"/>
      <c r="BJ33" s="87" t="s">
        <v>199</v>
      </c>
      <c r="BK33" s="135" t="s">
        <v>133</v>
      </c>
      <c r="BL33" s="87" t="s">
        <v>187</v>
      </c>
      <c r="BM33" s="95" t="s">
        <v>188</v>
      </c>
      <c r="BN33" s="95" t="s">
        <v>56</v>
      </c>
      <c r="BO33" s="96">
        <v>4</v>
      </c>
      <c r="BP33" s="87">
        <v>339.41125496954282</v>
      </c>
      <c r="BQ33" s="122" t="s">
        <v>239</v>
      </c>
      <c r="BR33" s="126"/>
      <c r="CD33"/>
    </row>
    <row r="34" spans="1:82" s="65" customFormat="1" ht="15.75" thickTop="1">
      <c r="A34" s="66">
        <v>975</v>
      </c>
      <c r="B34" s="68" t="s">
        <v>217</v>
      </c>
      <c r="C34" s="68"/>
      <c r="D34" s="67" t="s">
        <v>80</v>
      </c>
      <c r="E34" s="128" t="s">
        <v>160</v>
      </c>
      <c r="F34" s="65" t="s">
        <v>88</v>
      </c>
      <c r="G34" s="65" t="s">
        <v>182</v>
      </c>
      <c r="H34" s="66" t="s">
        <v>103</v>
      </c>
      <c r="I34" s="66" t="s">
        <v>56</v>
      </c>
      <c r="J34" s="68" t="s">
        <v>161</v>
      </c>
      <c r="K34" s="68"/>
      <c r="L34" s="162" t="s">
        <v>181</v>
      </c>
      <c r="M34" s="162" t="s">
        <v>181</v>
      </c>
      <c r="N34" s="162" t="s">
        <v>181</v>
      </c>
      <c r="O34" s="66" t="s">
        <v>15</v>
      </c>
      <c r="P34" s="68">
        <v>48</v>
      </c>
      <c r="Q34" s="68" t="s">
        <v>89</v>
      </c>
      <c r="R34" s="66" t="s">
        <v>48</v>
      </c>
      <c r="S34" s="66"/>
      <c r="T34" s="66">
        <v>40</v>
      </c>
      <c r="U34" s="66" t="s">
        <v>61</v>
      </c>
      <c r="V34" s="66">
        <f>VLOOKUP(U34,Tables!M$5:O$8,3,FALSE)</f>
        <v>1000</v>
      </c>
      <c r="W34" s="66">
        <f t="shared" si="0"/>
        <v>40000</v>
      </c>
      <c r="X34" s="80"/>
      <c r="Y34" s="80" t="str">
        <f t="shared" si="1"/>
        <v>EC50</v>
      </c>
      <c r="Z34" s="71">
        <f>VLOOKUP(Y34,Tables!C$5:D$19,2,FALSE)</f>
        <v>5</v>
      </c>
      <c r="AA34" s="72">
        <f t="shared" si="2"/>
        <v>8000</v>
      </c>
      <c r="AB34" s="73" t="str">
        <f t="shared" si="3"/>
        <v>Acute</v>
      </c>
      <c r="AC34" s="71">
        <f>VLOOKUP(AB34,Tables!C$22:D$23,2,FALSE)</f>
        <v>2</v>
      </c>
      <c r="AD34" s="74">
        <f t="shared" si="4"/>
        <v>4000</v>
      </c>
      <c r="AE34" s="117" t="s">
        <v>239</v>
      </c>
      <c r="AF34" s="131" t="str">
        <f t="shared" si="5"/>
        <v>Daphnia magna</v>
      </c>
      <c r="AG34" s="83" t="str">
        <f t="shared" si="6"/>
        <v>EC50</v>
      </c>
      <c r="AH34" s="83" t="str">
        <f t="shared" si="7"/>
        <v>Acute</v>
      </c>
      <c r="AI34" s="83"/>
      <c r="AJ34" s="71">
        <f>VLOOKUP(SUM(Z34,AC34),Tables!J$5:K$10,2,FALSE)</f>
        <v>4</v>
      </c>
      <c r="AK34" s="63" t="str">
        <f t="shared" si="8"/>
        <v>Reject</v>
      </c>
      <c r="AL34" s="77"/>
      <c r="AM34" s="71"/>
      <c r="AN34" s="68"/>
      <c r="AO34" s="68"/>
      <c r="AP34" s="67"/>
      <c r="AR34" s="78"/>
      <c r="AS34" s="67"/>
      <c r="AT34" s="67"/>
      <c r="AU34" s="117" t="s">
        <v>239</v>
      </c>
      <c r="AX34" s="6"/>
      <c r="AY34" s="99"/>
      <c r="AZ34" s="6"/>
      <c r="BA34" s="6"/>
      <c r="BB34" s="6"/>
      <c r="BC34" s="6"/>
      <c r="BD34" s="6"/>
      <c r="BE34" s="67"/>
      <c r="BF34" s="106"/>
      <c r="BG34" s="106"/>
      <c r="BH34" s="106"/>
      <c r="BI34" s="2"/>
      <c r="BJ34" s="67"/>
      <c r="BK34" s="67"/>
      <c r="BL34" s="67"/>
      <c r="BM34" s="67"/>
      <c r="BN34" s="67"/>
      <c r="BO34" s="67"/>
      <c r="BP34" s="67"/>
      <c r="BS34" s="2"/>
      <c r="CD34"/>
    </row>
    <row r="35" spans="1:82" s="2" customFormat="1" ht="16.5" hidden="1" thickTop="1" thickBot="1">
      <c r="A35" s="40"/>
      <c r="B35" s="40"/>
      <c r="C35" s="34"/>
      <c r="D35" s="34"/>
      <c r="E35" s="168"/>
      <c r="F35" s="34"/>
      <c r="G35" s="34"/>
      <c r="H35" s="40"/>
      <c r="I35" s="40"/>
      <c r="J35" s="40"/>
      <c r="K35" s="34"/>
      <c r="L35" s="163"/>
      <c r="M35" s="163"/>
      <c r="N35" s="163"/>
      <c r="O35" s="40"/>
      <c r="P35" s="40"/>
      <c r="Q35" s="40"/>
      <c r="R35" s="40"/>
      <c r="S35" s="40"/>
      <c r="T35" s="40"/>
      <c r="U35" s="40"/>
      <c r="V35" s="70"/>
      <c r="W35" s="70"/>
      <c r="X35" s="34"/>
      <c r="Y35" s="40"/>
      <c r="Z35" s="40"/>
      <c r="AA35" s="70"/>
      <c r="AB35" s="40"/>
      <c r="AC35" s="40"/>
      <c r="AD35" s="70"/>
      <c r="AE35" s="40"/>
      <c r="AF35" s="100"/>
      <c r="AG35" s="81"/>
      <c r="AH35" s="81"/>
      <c r="AI35" s="34"/>
      <c r="AJ35" s="34"/>
      <c r="AK35" s="34"/>
      <c r="AL35" s="34"/>
      <c r="AM35" s="40"/>
      <c r="AN35" s="40"/>
      <c r="AO35" s="40"/>
      <c r="AP35" s="34"/>
      <c r="AQ35" s="70"/>
      <c r="AR35" s="34"/>
      <c r="AS35" s="34"/>
      <c r="AT35" s="34"/>
      <c r="AU35" s="40"/>
      <c r="AV35" s="50"/>
      <c r="AW35" s="50"/>
      <c r="AX35" s="90"/>
      <c r="AY35" s="100"/>
      <c r="AZ35" s="34"/>
      <c r="BA35" s="34"/>
      <c r="BB35" s="34"/>
      <c r="BC35" s="34"/>
      <c r="BD35" s="34"/>
      <c r="BE35" s="89"/>
      <c r="BF35" s="89"/>
      <c r="BG35" s="50"/>
      <c r="BH35" s="50"/>
      <c r="BI35" s="65"/>
      <c r="BJ35" s="132"/>
      <c r="BK35" s="106"/>
      <c r="BL35" s="106"/>
      <c r="BM35" s="106"/>
      <c r="BN35" s="106"/>
      <c r="BO35" s="106"/>
      <c r="BR35" s="65"/>
      <c r="BS35" s="65"/>
      <c r="CD35"/>
    </row>
    <row r="36" spans="1:82" s="65" customFormat="1">
      <c r="A36" s="66">
        <v>992</v>
      </c>
      <c r="B36" s="68" t="s">
        <v>223</v>
      </c>
      <c r="C36" s="2"/>
      <c r="D36" s="67" t="s">
        <v>80</v>
      </c>
      <c r="E36" s="128" t="s">
        <v>224</v>
      </c>
      <c r="F36" s="65" t="s">
        <v>88</v>
      </c>
      <c r="G36" s="65" t="s">
        <v>182</v>
      </c>
      <c r="H36" s="66" t="s">
        <v>218</v>
      </c>
      <c r="I36" s="66" t="s">
        <v>56</v>
      </c>
      <c r="J36" s="7" t="s">
        <v>227</v>
      </c>
      <c r="K36" s="2"/>
      <c r="L36" s="162" t="s">
        <v>181</v>
      </c>
      <c r="M36" s="162" t="s">
        <v>181</v>
      </c>
      <c r="N36" s="162" t="s">
        <v>181</v>
      </c>
      <c r="O36" s="7" t="s">
        <v>15</v>
      </c>
      <c r="P36" s="7">
        <v>24</v>
      </c>
      <c r="Q36" s="7" t="s">
        <v>89</v>
      </c>
      <c r="R36" s="7" t="s">
        <v>48</v>
      </c>
      <c r="S36" s="4"/>
      <c r="T36" s="66">
        <v>63.23</v>
      </c>
      <c r="U36" s="4" t="s">
        <v>61</v>
      </c>
      <c r="V36" s="66">
        <f>VLOOKUP(U36,Tables!M$5:O$8,3,FALSE)</f>
        <v>1000</v>
      </c>
      <c r="W36" s="66">
        <f t="shared" si="0"/>
        <v>63230</v>
      </c>
      <c r="X36" s="80"/>
      <c r="Y36" s="80" t="str">
        <f t="shared" si="1"/>
        <v>EC50</v>
      </c>
      <c r="Z36" s="71">
        <f>VLOOKUP(Y36,Tables!C$5:D$19,2,FALSE)</f>
        <v>5</v>
      </c>
      <c r="AA36" s="72">
        <f t="shared" si="2"/>
        <v>12646</v>
      </c>
      <c r="AB36" s="73" t="str">
        <f t="shared" si="3"/>
        <v>Acute</v>
      </c>
      <c r="AC36" s="71">
        <f>VLOOKUP(AB36,Tables!C$22:D$23,2,FALSE)</f>
        <v>2</v>
      </c>
      <c r="AD36" s="74">
        <f t="shared" si="4"/>
        <v>6323</v>
      </c>
      <c r="AE36" s="117" t="s">
        <v>239</v>
      </c>
      <c r="AF36" s="131" t="str">
        <f>E36</f>
        <v>Daphnia similis</v>
      </c>
      <c r="AG36" s="83" t="str">
        <f>O36</f>
        <v>EC50</v>
      </c>
      <c r="AH36" s="83" t="str">
        <f>R36</f>
        <v>Acute</v>
      </c>
      <c r="AI36" s="83"/>
      <c r="AJ36" s="71">
        <f>VLOOKUP(SUM(Z36,AC36),Tables!J$5:K$10,2,FALSE)</f>
        <v>4</v>
      </c>
      <c r="AK36" s="63" t="str">
        <f>IF(AJ36=MIN($AJ$36:$AJ$37),"YES!!!","Reject")</f>
        <v>YES!!!</v>
      </c>
      <c r="AL36" s="77" t="str">
        <f>N36</f>
        <v>Immobilisation</v>
      </c>
      <c r="AM36" s="68" t="s">
        <v>105</v>
      </c>
      <c r="AN36" s="66" t="str">
        <f>CONCATENATE(P36," ",Q36)</f>
        <v>24 Hour</v>
      </c>
      <c r="AO36" s="68" t="s">
        <v>106</v>
      </c>
      <c r="AQ36" s="74">
        <f>AD36</f>
        <v>6323</v>
      </c>
      <c r="AR36" s="77">
        <f>GEOMEAN(AQ36)</f>
        <v>6323</v>
      </c>
      <c r="AS36" s="77">
        <f>MIN(AR36:AR37)</f>
        <v>3886</v>
      </c>
      <c r="AT36" s="77">
        <f>MIN(AS36)</f>
        <v>3886</v>
      </c>
      <c r="AU36" s="117" t="s">
        <v>239</v>
      </c>
      <c r="AV36" s="50"/>
      <c r="AW36" s="50"/>
      <c r="AX36" s="77" t="str">
        <f>H36</f>
        <v>Microinvertebrate</v>
      </c>
      <c r="AY36" s="102" t="str">
        <f>E36</f>
        <v>Daphnia similis</v>
      </c>
      <c r="AZ36" s="77" t="str">
        <f>F36</f>
        <v>Arthropoda</v>
      </c>
      <c r="BA36" s="97" t="str">
        <f>G36</f>
        <v>Branchiopoda</v>
      </c>
      <c r="BB36" s="97" t="str">
        <f>I36</f>
        <v>Heterotroph</v>
      </c>
      <c r="BC36" s="86">
        <f>AJ36</f>
        <v>4</v>
      </c>
      <c r="BD36" s="77">
        <f>AT36</f>
        <v>3886</v>
      </c>
      <c r="BE36" s="117" t="s">
        <v>239</v>
      </c>
      <c r="BF36" s="117" t="s">
        <v>239</v>
      </c>
      <c r="BG36" s="112"/>
      <c r="BH36" s="112"/>
      <c r="BJ36" s="107"/>
      <c r="BK36" s="106"/>
      <c r="BL36" s="106"/>
      <c r="BM36" s="106"/>
      <c r="BN36" s="106"/>
      <c r="BO36" s="106"/>
      <c r="BP36" s="2"/>
      <c r="BQ36" s="2"/>
      <c r="BR36" s="2"/>
      <c r="BS36" s="106"/>
      <c r="CD36"/>
    </row>
    <row r="37" spans="1:82" s="65" customFormat="1">
      <c r="A37" s="66" t="s">
        <v>225</v>
      </c>
      <c r="B37" s="68" t="s">
        <v>226</v>
      </c>
      <c r="C37" s="2"/>
      <c r="D37" s="67" t="s">
        <v>80</v>
      </c>
      <c r="E37" s="128" t="s">
        <v>224</v>
      </c>
      <c r="F37" s="65" t="s">
        <v>88</v>
      </c>
      <c r="G37" s="65" t="s">
        <v>182</v>
      </c>
      <c r="H37" s="66" t="s">
        <v>218</v>
      </c>
      <c r="I37" s="66" t="s">
        <v>56</v>
      </c>
      <c r="J37" s="68" t="s">
        <v>227</v>
      </c>
      <c r="L37" s="162" t="s">
        <v>181</v>
      </c>
      <c r="M37" s="162" t="s">
        <v>181</v>
      </c>
      <c r="N37" s="162" t="s">
        <v>181</v>
      </c>
      <c r="O37" s="68" t="s">
        <v>15</v>
      </c>
      <c r="P37" s="7">
        <v>48</v>
      </c>
      <c r="Q37" s="7" t="s">
        <v>89</v>
      </c>
      <c r="R37" s="7" t="s">
        <v>48</v>
      </c>
      <c r="S37" s="4"/>
      <c r="T37" s="66">
        <v>38.86</v>
      </c>
      <c r="U37" s="4" t="s">
        <v>61</v>
      </c>
      <c r="V37" s="66">
        <f>VLOOKUP(U37,Tables!M$5:O$8,3,FALSE)</f>
        <v>1000</v>
      </c>
      <c r="W37" s="66">
        <f t="shared" si="0"/>
        <v>38860</v>
      </c>
      <c r="X37" s="80"/>
      <c r="Y37" s="80" t="str">
        <f t="shared" si="1"/>
        <v>EC50</v>
      </c>
      <c r="Z37" s="71">
        <f>VLOOKUP(Y37,Tables!C$5:D$19,2,FALSE)</f>
        <v>5</v>
      </c>
      <c r="AA37" s="72">
        <f t="shared" si="2"/>
        <v>7772</v>
      </c>
      <c r="AB37" s="73" t="str">
        <f t="shared" si="3"/>
        <v>Acute</v>
      </c>
      <c r="AC37" s="71">
        <f>VLOOKUP(AB37,Tables!C$22:D$23,2,FALSE)</f>
        <v>2</v>
      </c>
      <c r="AD37" s="74">
        <f t="shared" si="4"/>
        <v>3886</v>
      </c>
      <c r="AE37" s="117" t="s">
        <v>239</v>
      </c>
      <c r="AF37" s="131" t="str">
        <f>E37</f>
        <v>Daphnia similis</v>
      </c>
      <c r="AG37" s="83" t="str">
        <f>O37</f>
        <v>EC50</v>
      </c>
      <c r="AH37" s="83" t="str">
        <f>R37</f>
        <v>Acute</v>
      </c>
      <c r="AI37" s="83"/>
      <c r="AJ37" s="71">
        <f>VLOOKUP(SUM(Z37,AC37),Tables!J$5:K$10,2,FALSE)</f>
        <v>4</v>
      </c>
      <c r="AK37" s="63" t="str">
        <f>IF(AJ37=MIN($AJ$36:$AJ$37),"YES!!!","Reject")</f>
        <v>YES!!!</v>
      </c>
      <c r="AL37" s="77" t="str">
        <f>N37</f>
        <v>Immobilisation</v>
      </c>
      <c r="AM37" s="68" t="s">
        <v>105</v>
      </c>
      <c r="AN37" s="66" t="str">
        <f>CONCATENATE(P37," ",Q37)</f>
        <v>48 Hour</v>
      </c>
      <c r="AO37" s="68" t="s">
        <v>213</v>
      </c>
      <c r="AQ37" s="74">
        <f>AD37</f>
        <v>3886</v>
      </c>
      <c r="AR37" s="77">
        <f>GEOMEAN(AQ37)</f>
        <v>3886</v>
      </c>
      <c r="AS37" s="67"/>
      <c r="AT37" s="67"/>
      <c r="AU37" s="117" t="s">
        <v>239</v>
      </c>
      <c r="AV37" s="50"/>
      <c r="AW37" s="50"/>
      <c r="AX37" s="67"/>
      <c r="AY37" s="99"/>
      <c r="AZ37" s="67"/>
      <c r="BA37" s="67"/>
      <c r="BB37" s="67"/>
      <c r="BC37" s="67"/>
      <c r="BD37" s="67"/>
      <c r="BE37" s="67"/>
      <c r="BF37" s="106"/>
      <c r="BG37" s="106"/>
      <c r="BH37" s="106"/>
      <c r="BJ37" s="107"/>
      <c r="BK37" s="106"/>
      <c r="BL37" s="106"/>
      <c r="BM37" s="106"/>
      <c r="BN37" s="106"/>
      <c r="BO37" s="106"/>
      <c r="BS37" s="106"/>
      <c r="BT37" s="106"/>
      <c r="CD37"/>
    </row>
    <row r="38" spans="1:82" s="65" customFormat="1" ht="16.5" hidden="1" thickTop="1" thickBot="1">
      <c r="A38" s="40"/>
      <c r="B38" s="40"/>
      <c r="C38" s="34"/>
      <c r="D38" s="34"/>
      <c r="E38" s="168"/>
      <c r="F38" s="34"/>
      <c r="G38" s="34"/>
      <c r="H38" s="40"/>
      <c r="I38" s="40"/>
      <c r="J38" s="40"/>
      <c r="K38" s="34"/>
      <c r="L38" s="163"/>
      <c r="M38" s="163"/>
      <c r="N38" s="163"/>
      <c r="O38" s="40"/>
      <c r="P38" s="40"/>
      <c r="Q38" s="40"/>
      <c r="R38" s="40"/>
      <c r="S38" s="40"/>
      <c r="T38" s="40"/>
      <c r="U38" s="40"/>
      <c r="V38" s="70"/>
      <c r="W38" s="70"/>
      <c r="X38" s="34"/>
      <c r="Y38" s="40"/>
      <c r="Z38" s="40"/>
      <c r="AA38" s="70"/>
      <c r="AB38" s="40"/>
      <c r="AC38" s="40"/>
      <c r="AD38" s="70"/>
      <c r="AE38" s="40"/>
      <c r="AF38" s="100"/>
      <c r="AG38" s="81"/>
      <c r="AH38" s="81"/>
      <c r="AI38" s="34"/>
      <c r="AJ38" s="34"/>
      <c r="AK38" s="34"/>
      <c r="AL38" s="34"/>
      <c r="AM38" s="40"/>
      <c r="AN38" s="40"/>
      <c r="AO38" s="40"/>
      <c r="AP38" s="34"/>
      <c r="AQ38" s="70"/>
      <c r="AR38" s="34"/>
      <c r="AS38" s="34"/>
      <c r="AT38" s="34"/>
      <c r="AU38" s="40"/>
      <c r="AV38" s="50"/>
      <c r="AW38" s="50"/>
      <c r="AX38" s="34"/>
      <c r="AY38" s="100"/>
      <c r="AZ38" s="34"/>
      <c r="BA38" s="34"/>
      <c r="BB38" s="34"/>
      <c r="BC38" s="34"/>
      <c r="BD38" s="34"/>
      <c r="BE38" s="89"/>
      <c r="BF38" s="89"/>
      <c r="BG38" s="50"/>
      <c r="BH38" s="50"/>
      <c r="BI38" s="2"/>
      <c r="BJ38" s="132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CD38"/>
    </row>
    <row r="39" spans="1:82" s="106" customFormat="1" hidden="1">
      <c r="A39" s="68">
        <v>1653</v>
      </c>
      <c r="B39" s="7" t="s">
        <v>138</v>
      </c>
      <c r="C39" s="2"/>
      <c r="D39" s="6" t="s">
        <v>112</v>
      </c>
      <c r="E39" s="128" t="s">
        <v>116</v>
      </c>
      <c r="F39" s="65" t="s">
        <v>81</v>
      </c>
      <c r="G39" s="65" t="s">
        <v>180</v>
      </c>
      <c r="H39" s="66" t="s">
        <v>17</v>
      </c>
      <c r="I39" s="7" t="s">
        <v>18</v>
      </c>
      <c r="J39" s="7" t="s">
        <v>174</v>
      </c>
      <c r="K39" s="2"/>
      <c r="L39" s="162" t="s">
        <v>205</v>
      </c>
      <c r="M39" s="162" t="s">
        <v>219</v>
      </c>
      <c r="N39" s="162" t="s">
        <v>206</v>
      </c>
      <c r="O39" s="68" t="s">
        <v>15</v>
      </c>
      <c r="P39" s="7">
        <v>10</v>
      </c>
      <c r="Q39" s="7" t="s">
        <v>184</v>
      </c>
      <c r="R39" s="66" t="s">
        <v>16</v>
      </c>
      <c r="S39" s="4"/>
      <c r="T39" s="82">
        <v>40</v>
      </c>
      <c r="U39" s="4" t="s">
        <v>87</v>
      </c>
      <c r="V39" s="66">
        <f>VLOOKUP(U39,Tables!M$5:O$8,3,FALSE)</f>
        <v>1</v>
      </c>
      <c r="W39" s="66">
        <f>T39*V39</f>
        <v>40</v>
      </c>
      <c r="X39" s="66"/>
      <c r="Y39" s="71" t="str">
        <f>O39</f>
        <v>EC50</v>
      </c>
      <c r="Z39" s="71">
        <f>VLOOKUP(Y39,Tables!C$5:D$19,2,FALSE)</f>
        <v>5</v>
      </c>
      <c r="AA39" s="72">
        <f>W39/Z39</f>
        <v>8</v>
      </c>
      <c r="AB39" s="73" t="str">
        <f>R39</f>
        <v>Chronic</v>
      </c>
      <c r="AC39" s="71">
        <f>VLOOKUP(AB39,Tables!C$22:D$23,2,FALSE)</f>
        <v>1</v>
      </c>
      <c r="AD39" s="74">
        <f>AA39/AC39</f>
        <v>8</v>
      </c>
      <c r="AE39" s="117" t="s">
        <v>239</v>
      </c>
      <c r="AF39" s="131" t="str">
        <f>E39</f>
        <v>Dunaliella tertiolecta</v>
      </c>
      <c r="AG39" s="83" t="str">
        <f>O39</f>
        <v>EC50</v>
      </c>
      <c r="AH39" s="83" t="str">
        <f>R39</f>
        <v>Chronic</v>
      </c>
      <c r="AI39" s="83"/>
      <c r="AJ39" s="71">
        <f>VLOOKUP(SUM(Z39,AC39),Tables!J$5:K$10,2,FALSE)</f>
        <v>2</v>
      </c>
      <c r="AK39" s="63" t="str">
        <f>IF(AJ39=MIN($AJ$39:$AJ$40),"YES!!!","Reject")</f>
        <v>YES!!!</v>
      </c>
      <c r="AL39" s="77" t="str">
        <f>N39</f>
        <v>Biomass yield</v>
      </c>
      <c r="AM39" s="66" t="s">
        <v>212</v>
      </c>
      <c r="AN39" s="66" t="str">
        <f>CONCATENATE(P39," ",Q39)</f>
        <v>10 Day</v>
      </c>
      <c r="AO39" s="66" t="s">
        <v>106</v>
      </c>
      <c r="AP39" s="2"/>
      <c r="AQ39" s="74">
        <f>AD39</f>
        <v>8</v>
      </c>
      <c r="AR39" s="77">
        <f>GEOMEAN(AQ39:AQ40)</f>
        <v>5.6568542494923797</v>
      </c>
      <c r="AS39" s="77">
        <f>MIN(AR39)</f>
        <v>5.6568542494923797</v>
      </c>
      <c r="AT39" s="77">
        <f>MIN(AS39)</f>
        <v>5.6568542494923797</v>
      </c>
      <c r="AU39" s="117" t="s">
        <v>239</v>
      </c>
      <c r="AV39" s="65"/>
      <c r="AW39" s="65"/>
      <c r="AX39" s="77" t="str">
        <f>H39</f>
        <v>Microalgae</v>
      </c>
      <c r="AY39" s="102" t="str">
        <f>E39</f>
        <v>Dunaliella tertiolecta</v>
      </c>
      <c r="AZ39" s="77" t="str">
        <f>F39</f>
        <v>Chlorophyta</v>
      </c>
      <c r="BA39" s="97" t="str">
        <f>G39</f>
        <v>Chlorophyceae</v>
      </c>
      <c r="BB39" s="97" t="str">
        <f>I39</f>
        <v>Phototroph</v>
      </c>
      <c r="BC39" s="86">
        <f>AJ39</f>
        <v>2</v>
      </c>
      <c r="BD39" s="77">
        <f>AT39</f>
        <v>5.6568542494923797</v>
      </c>
      <c r="BE39" s="117" t="s">
        <v>239</v>
      </c>
      <c r="BF39" s="117" t="s">
        <v>239</v>
      </c>
      <c r="BG39" s="112"/>
      <c r="BH39" s="112"/>
      <c r="BI39" s="65"/>
      <c r="CD39" s="64"/>
    </row>
    <row r="40" spans="1:82" s="106" customFormat="1" hidden="1">
      <c r="A40" s="68">
        <v>1357</v>
      </c>
      <c r="B40" s="7" t="s">
        <v>138</v>
      </c>
      <c r="C40" s="2"/>
      <c r="D40" s="6" t="s">
        <v>112</v>
      </c>
      <c r="E40" s="128" t="s">
        <v>116</v>
      </c>
      <c r="F40" s="65" t="s">
        <v>81</v>
      </c>
      <c r="G40" s="65" t="s">
        <v>180</v>
      </c>
      <c r="H40" s="66" t="s">
        <v>17</v>
      </c>
      <c r="I40" s="7" t="s">
        <v>18</v>
      </c>
      <c r="J40" s="7" t="s">
        <v>174</v>
      </c>
      <c r="K40" s="2"/>
      <c r="L40" s="162" t="s">
        <v>205</v>
      </c>
      <c r="M40" s="162" t="s">
        <v>219</v>
      </c>
      <c r="N40" s="162" t="s">
        <v>206</v>
      </c>
      <c r="O40" s="68" t="s">
        <v>15</v>
      </c>
      <c r="P40" s="7">
        <v>10</v>
      </c>
      <c r="Q40" s="7" t="s">
        <v>184</v>
      </c>
      <c r="R40" s="66" t="s">
        <v>16</v>
      </c>
      <c r="S40" s="4"/>
      <c r="T40" s="82">
        <v>20</v>
      </c>
      <c r="U40" s="4" t="s">
        <v>87</v>
      </c>
      <c r="V40" s="66">
        <f>VLOOKUP(U40,Tables!M$5:O$8,3,FALSE)</f>
        <v>1</v>
      </c>
      <c r="W40" s="66">
        <f>T40*V40</f>
        <v>20</v>
      </c>
      <c r="X40" s="66"/>
      <c r="Y40" s="71" t="str">
        <f>O40</f>
        <v>EC50</v>
      </c>
      <c r="Z40" s="71">
        <f>VLOOKUP(Y40,Tables!C$5:D$19,2,FALSE)</f>
        <v>5</v>
      </c>
      <c r="AA40" s="72">
        <f>W40/Z40</f>
        <v>4</v>
      </c>
      <c r="AB40" s="73" t="str">
        <f>R40</f>
        <v>Chronic</v>
      </c>
      <c r="AC40" s="71">
        <f>VLOOKUP(AB40,Tables!C$22:D$23,2,FALSE)</f>
        <v>1</v>
      </c>
      <c r="AD40" s="74">
        <f>AA40/AC40</f>
        <v>4</v>
      </c>
      <c r="AE40" s="117" t="s">
        <v>239</v>
      </c>
      <c r="AF40" s="131" t="str">
        <f>E40</f>
        <v>Dunaliella tertiolecta</v>
      </c>
      <c r="AG40" s="83" t="str">
        <f>O40</f>
        <v>EC50</v>
      </c>
      <c r="AH40" s="83" t="str">
        <f>R40</f>
        <v>Chronic</v>
      </c>
      <c r="AI40" s="83"/>
      <c r="AJ40" s="71">
        <f>VLOOKUP(SUM(Z40,AC40),Tables!J$5:K$10,2,FALSE)</f>
        <v>2</v>
      </c>
      <c r="AK40" s="63" t="str">
        <f>IF(AJ40=MIN($AJ$39:$AJ$40),"YES!!!","Reject")</f>
        <v>YES!!!</v>
      </c>
      <c r="AL40" s="77" t="str">
        <f>N40</f>
        <v>Biomass yield</v>
      </c>
      <c r="AM40" s="66" t="s">
        <v>212</v>
      </c>
      <c r="AN40" s="66" t="str">
        <f>CONCATENATE(P40," ",Q40)</f>
        <v>10 Day</v>
      </c>
      <c r="AO40" s="66" t="s">
        <v>106</v>
      </c>
      <c r="AP40" s="2"/>
      <c r="AQ40" s="74">
        <f>AD40</f>
        <v>4</v>
      </c>
      <c r="AR40" s="6"/>
      <c r="AS40" s="6"/>
      <c r="AT40" s="6"/>
      <c r="AU40" s="117" t="s">
        <v>239</v>
      </c>
      <c r="AV40" s="65"/>
      <c r="AW40" s="65"/>
      <c r="AX40" s="6"/>
      <c r="AY40" s="99"/>
      <c r="AZ40" s="6"/>
      <c r="BA40" s="6"/>
      <c r="BB40" s="6"/>
      <c r="BC40" s="6"/>
      <c r="BD40" s="6"/>
      <c r="BE40" s="67"/>
      <c r="BI40" s="2"/>
      <c r="CD40" s="64"/>
    </row>
    <row r="41" spans="1:82" s="106" customFormat="1" ht="16.5" hidden="1" thickTop="1" thickBot="1">
      <c r="A41" s="40"/>
      <c r="B41" s="40"/>
      <c r="C41" s="34"/>
      <c r="D41" s="34"/>
      <c r="E41" s="168"/>
      <c r="F41" s="34"/>
      <c r="G41" s="34"/>
      <c r="H41" s="40"/>
      <c r="I41" s="40"/>
      <c r="J41" s="40"/>
      <c r="K41" s="34"/>
      <c r="L41" s="163"/>
      <c r="M41" s="163"/>
      <c r="N41" s="163"/>
      <c r="O41" s="40"/>
      <c r="P41" s="40"/>
      <c r="Q41" s="40"/>
      <c r="R41" s="40"/>
      <c r="S41" s="40"/>
      <c r="T41" s="40"/>
      <c r="U41" s="40"/>
      <c r="V41" s="70"/>
      <c r="W41" s="70"/>
      <c r="X41" s="34"/>
      <c r="Y41" s="40"/>
      <c r="Z41" s="40"/>
      <c r="AA41" s="70"/>
      <c r="AB41" s="40"/>
      <c r="AC41" s="40"/>
      <c r="AD41" s="70"/>
      <c r="AE41" s="40"/>
      <c r="AF41" s="100"/>
      <c r="AG41" s="81"/>
      <c r="AH41" s="81"/>
      <c r="AI41" s="34"/>
      <c r="AJ41" s="34"/>
      <c r="AK41" s="34"/>
      <c r="AL41" s="34"/>
      <c r="AM41" s="40"/>
      <c r="AN41" s="40"/>
      <c r="AO41" s="40"/>
      <c r="AP41" s="34"/>
      <c r="AQ41" s="70"/>
      <c r="AR41" s="34"/>
      <c r="AS41" s="34"/>
      <c r="AT41" s="34"/>
      <c r="AU41" s="40"/>
      <c r="AV41" s="50"/>
      <c r="AW41" s="50"/>
      <c r="AX41" s="90"/>
      <c r="AY41" s="100"/>
      <c r="AZ41" s="34"/>
      <c r="BA41" s="34"/>
      <c r="BB41" s="34"/>
      <c r="BC41" s="34"/>
      <c r="BD41" s="34"/>
      <c r="BE41" s="89"/>
      <c r="BF41" s="89"/>
      <c r="BG41" s="50"/>
      <c r="BH41" s="50"/>
      <c r="BI41" s="67"/>
      <c r="BJ41" s="65"/>
      <c r="BK41" s="65"/>
      <c r="BL41" s="65"/>
      <c r="BM41" s="65"/>
      <c r="BN41" s="65"/>
      <c r="BO41" s="65"/>
      <c r="CD41" s="64"/>
    </row>
    <row r="42" spans="1:82" s="106" customFormat="1" hidden="1">
      <c r="A42" s="68">
        <v>791</v>
      </c>
      <c r="B42" s="7">
        <v>1900</v>
      </c>
      <c r="C42" s="2"/>
      <c r="D42" s="6" t="s">
        <v>112</v>
      </c>
      <c r="E42" s="128" t="s">
        <v>113</v>
      </c>
      <c r="F42" s="6" t="s">
        <v>114</v>
      </c>
      <c r="G42" s="6" t="s">
        <v>183</v>
      </c>
      <c r="H42" s="4" t="s">
        <v>17</v>
      </c>
      <c r="I42" s="7" t="s">
        <v>18</v>
      </c>
      <c r="J42" s="7" t="s">
        <v>174</v>
      </c>
      <c r="K42" s="2"/>
      <c r="L42" s="162" t="str">
        <f>CONCATENATE(M42, " ", "(", N42, ")")</f>
        <v>Population (Abundance)</v>
      </c>
      <c r="M42" s="162" t="s">
        <v>202</v>
      </c>
      <c r="N42" s="162" t="s">
        <v>204</v>
      </c>
      <c r="O42" s="66" t="s">
        <v>15</v>
      </c>
      <c r="P42" s="78">
        <v>3</v>
      </c>
      <c r="Q42" s="7" t="s">
        <v>184</v>
      </c>
      <c r="R42" s="7" t="s">
        <v>16</v>
      </c>
      <c r="S42" s="4"/>
      <c r="T42" s="4">
        <v>2.3199999999999998</v>
      </c>
      <c r="U42" s="4" t="s">
        <v>62</v>
      </c>
      <c r="V42" s="66">
        <f>VLOOKUP(U42,Tables!M$5:O$8,3,FALSE)</f>
        <v>1</v>
      </c>
      <c r="W42" s="66">
        <f>T42*V42</f>
        <v>2.3199999999999998</v>
      </c>
      <c r="X42" s="6"/>
      <c r="Y42" s="71" t="str">
        <f>O42</f>
        <v>EC50</v>
      </c>
      <c r="Z42" s="71">
        <f>VLOOKUP(Y42,Tables!C$5:D$19,2,FALSE)</f>
        <v>5</v>
      </c>
      <c r="AA42" s="72">
        <f>W42/Z42</f>
        <v>0.46399999999999997</v>
      </c>
      <c r="AB42" s="73" t="str">
        <f>R42</f>
        <v>Chronic</v>
      </c>
      <c r="AC42" s="71">
        <f>VLOOKUP(AB42,Tables!C$22:D$23,2,FALSE)</f>
        <v>1</v>
      </c>
      <c r="AD42" s="74">
        <f>AA42/AC42</f>
        <v>0.46399999999999997</v>
      </c>
      <c r="AE42" s="117" t="s">
        <v>239</v>
      </c>
      <c r="AF42" s="131" t="str">
        <f>E42</f>
        <v>Isochrysis galbana</v>
      </c>
      <c r="AG42" s="83" t="str">
        <f>O42</f>
        <v>EC50</v>
      </c>
      <c r="AH42" s="83" t="str">
        <f>R42</f>
        <v>Chronic</v>
      </c>
      <c r="AI42" s="83"/>
      <c r="AJ42" s="71">
        <f>VLOOKUP(SUM(Z42,AC42),Tables!J$5:K$10,2,FALSE)</f>
        <v>2</v>
      </c>
      <c r="AK42" s="76" t="str">
        <f>IF(AJ42=MIN($AJ$42:$AJ$45),"YES!!!","Reject")</f>
        <v>Reject</v>
      </c>
      <c r="AL42" s="77"/>
      <c r="AM42" s="66"/>
      <c r="AN42" s="66"/>
      <c r="AO42" s="68"/>
      <c r="AP42" s="2"/>
      <c r="AQ42" s="74"/>
      <c r="AR42" s="77"/>
      <c r="AS42" s="77"/>
      <c r="AT42" s="77"/>
      <c r="AU42" s="117" t="s">
        <v>239</v>
      </c>
      <c r="AV42" s="65"/>
      <c r="AW42" s="65"/>
      <c r="AX42" s="6"/>
      <c r="AY42" s="99"/>
      <c r="AZ42" s="6"/>
      <c r="BA42" s="6"/>
      <c r="BB42" s="6"/>
      <c r="BC42" s="6"/>
      <c r="BD42" s="6"/>
      <c r="BE42" s="67"/>
      <c r="BI42" s="67"/>
      <c r="BJ42" s="65"/>
      <c r="BO42" s="65"/>
      <c r="CD42" s="64"/>
    </row>
    <row r="43" spans="1:82" s="106" customFormat="1" hidden="1">
      <c r="A43" s="68">
        <v>791</v>
      </c>
      <c r="B43" s="7">
        <v>1914</v>
      </c>
      <c r="C43" s="2"/>
      <c r="D43" s="6" t="s">
        <v>112</v>
      </c>
      <c r="E43" s="128" t="s">
        <v>113</v>
      </c>
      <c r="F43" s="6" t="s">
        <v>114</v>
      </c>
      <c r="G43" s="6" t="s">
        <v>183</v>
      </c>
      <c r="H43" s="4" t="s">
        <v>17</v>
      </c>
      <c r="I43" s="7" t="s">
        <v>18</v>
      </c>
      <c r="J43" s="7" t="s">
        <v>174</v>
      </c>
      <c r="K43" s="2"/>
      <c r="L43" s="162" t="str">
        <f>CONCATENATE(M43, " ", "(", N43, ")")</f>
        <v>Population (Abundance)</v>
      </c>
      <c r="M43" s="162" t="s">
        <v>202</v>
      </c>
      <c r="N43" s="162" t="s">
        <v>204</v>
      </c>
      <c r="O43" s="66" t="s">
        <v>25</v>
      </c>
      <c r="P43" s="78">
        <v>3</v>
      </c>
      <c r="Q43" s="7" t="s">
        <v>184</v>
      </c>
      <c r="R43" s="7" t="s">
        <v>16</v>
      </c>
      <c r="S43" s="4"/>
      <c r="T43" s="4">
        <v>1.31</v>
      </c>
      <c r="U43" s="4" t="s">
        <v>62</v>
      </c>
      <c r="V43" s="66">
        <f>VLOOKUP(U43,Tables!M$5:O$8,3,FALSE)</f>
        <v>1</v>
      </c>
      <c r="W43" s="66">
        <f>T43*V43</f>
        <v>1.31</v>
      </c>
      <c r="X43" s="6"/>
      <c r="Y43" s="71" t="str">
        <f>O43</f>
        <v>EC10</v>
      </c>
      <c r="Z43" s="71">
        <f>VLOOKUP(Y43,Tables!C$5:D$19,2,FALSE)</f>
        <v>1</v>
      </c>
      <c r="AA43" s="72">
        <f>W43/Z43</f>
        <v>1.31</v>
      </c>
      <c r="AB43" s="73" t="str">
        <f>R43</f>
        <v>Chronic</v>
      </c>
      <c r="AC43" s="71">
        <f>VLOOKUP(AB43,Tables!C$22:D$23,2,FALSE)</f>
        <v>1</v>
      </c>
      <c r="AD43" s="74">
        <f>AA43/AC43</f>
        <v>1.31</v>
      </c>
      <c r="AE43" s="117" t="s">
        <v>239</v>
      </c>
      <c r="AF43" s="131" t="str">
        <f>E43</f>
        <v>Isochrysis galbana</v>
      </c>
      <c r="AG43" s="83" t="str">
        <f>O43</f>
        <v>EC10</v>
      </c>
      <c r="AH43" s="83" t="str">
        <f>R43</f>
        <v>Chronic</v>
      </c>
      <c r="AI43" s="83"/>
      <c r="AJ43" s="71">
        <f>VLOOKUP(SUM(Z43,AC43),Tables!J$5:K$10,2,FALSE)</f>
        <v>1</v>
      </c>
      <c r="AK43" s="76" t="str">
        <f>IF(AJ43=MIN($AJ$42:$AJ$45),"YES!!!","Reject")</f>
        <v>YES!!!</v>
      </c>
      <c r="AL43" s="77" t="str">
        <f>N43</f>
        <v>Abundance</v>
      </c>
      <c r="AM43" s="68" t="s">
        <v>105</v>
      </c>
      <c r="AN43" s="66" t="str">
        <f>CONCATENATE(P43," ",Q43)</f>
        <v>3 Day</v>
      </c>
      <c r="AO43" s="68" t="s">
        <v>106</v>
      </c>
      <c r="AP43" s="2"/>
      <c r="AQ43" s="74">
        <f>AD43</f>
        <v>1.31</v>
      </c>
      <c r="AR43" s="77">
        <f>GEOMEAN(AQ43)</f>
        <v>1.31</v>
      </c>
      <c r="AS43" s="77">
        <f>MIN(AR43)</f>
        <v>1.31</v>
      </c>
      <c r="AT43" s="77">
        <f>MIN(AS43)</f>
        <v>1.31</v>
      </c>
      <c r="AU43" s="117" t="s">
        <v>239</v>
      </c>
      <c r="AV43" s="65"/>
      <c r="AW43" s="65"/>
      <c r="AX43" s="77" t="str">
        <f>H43</f>
        <v>Microalgae</v>
      </c>
      <c r="AY43" s="102" t="str">
        <f>E43</f>
        <v>Isochrysis galbana</v>
      </c>
      <c r="AZ43" s="77" t="str">
        <f>F43</f>
        <v>Haptophyta</v>
      </c>
      <c r="BA43" s="97" t="str">
        <f>G43</f>
        <v>Coccolithophyceae</v>
      </c>
      <c r="BB43" s="97" t="str">
        <f>I43</f>
        <v>Phototroph</v>
      </c>
      <c r="BC43" s="86">
        <f>AJ43</f>
        <v>1</v>
      </c>
      <c r="BD43" s="77">
        <f>AT43</f>
        <v>1.31</v>
      </c>
      <c r="BE43" s="117" t="s">
        <v>239</v>
      </c>
      <c r="BF43" s="117" t="s">
        <v>239</v>
      </c>
      <c r="BG43" s="112"/>
      <c r="BH43" s="112"/>
      <c r="BI43" s="67"/>
      <c r="BJ43" s="2"/>
      <c r="BO43" s="2"/>
      <c r="CD43" s="64"/>
    </row>
    <row r="44" spans="1:82" s="106" customFormat="1" hidden="1">
      <c r="A44" s="68">
        <v>1651</v>
      </c>
      <c r="B44" s="7" t="s">
        <v>138</v>
      </c>
      <c r="C44" s="2"/>
      <c r="D44" s="6" t="s">
        <v>112</v>
      </c>
      <c r="E44" s="128" t="s">
        <v>113</v>
      </c>
      <c r="F44" s="2" t="s">
        <v>114</v>
      </c>
      <c r="G44" s="2" t="s">
        <v>183</v>
      </c>
      <c r="H44" s="4" t="s">
        <v>17</v>
      </c>
      <c r="I44" s="68" t="s">
        <v>18</v>
      </c>
      <c r="J44" s="7" t="s">
        <v>174</v>
      </c>
      <c r="K44" s="2"/>
      <c r="L44" s="162" t="s">
        <v>205</v>
      </c>
      <c r="M44" s="162" t="s">
        <v>205</v>
      </c>
      <c r="N44" s="162" t="s">
        <v>205</v>
      </c>
      <c r="O44" s="7" t="s">
        <v>15</v>
      </c>
      <c r="P44" s="7">
        <v>10</v>
      </c>
      <c r="Q44" s="7" t="s">
        <v>184</v>
      </c>
      <c r="R44" s="66" t="s">
        <v>16</v>
      </c>
      <c r="S44" s="4"/>
      <c r="T44" s="4">
        <v>10</v>
      </c>
      <c r="U44" s="66" t="s">
        <v>87</v>
      </c>
      <c r="V44" s="66">
        <f>VLOOKUP(U44,Tables!M$5:O$8,3,FALSE)</f>
        <v>1</v>
      </c>
      <c r="W44" s="66">
        <f>T44*V44</f>
        <v>10</v>
      </c>
      <c r="X44" s="6"/>
      <c r="Y44" s="71" t="str">
        <f>O44</f>
        <v>EC50</v>
      </c>
      <c r="Z44" s="71">
        <f>VLOOKUP(Y44,Tables!C$5:D$19,2,FALSE)</f>
        <v>5</v>
      </c>
      <c r="AA44" s="72">
        <f>W44/Z44</f>
        <v>2</v>
      </c>
      <c r="AB44" s="73" t="str">
        <f>R44</f>
        <v>Chronic</v>
      </c>
      <c r="AC44" s="71">
        <f>VLOOKUP(AB44,Tables!C$22:D$23,2,FALSE)</f>
        <v>1</v>
      </c>
      <c r="AD44" s="74">
        <f>AA44/AC44</f>
        <v>2</v>
      </c>
      <c r="AE44" s="117" t="s">
        <v>239</v>
      </c>
      <c r="AF44" s="131" t="str">
        <f>E44</f>
        <v>Isochrysis galbana</v>
      </c>
      <c r="AG44" s="83" t="str">
        <f>O44</f>
        <v>EC50</v>
      </c>
      <c r="AH44" s="83" t="str">
        <f>R44</f>
        <v>Chronic</v>
      </c>
      <c r="AI44" s="83"/>
      <c r="AJ44" s="71">
        <f>VLOOKUP(SUM(Z44,AC44),Tables!J$5:K$10,2,FALSE)</f>
        <v>2</v>
      </c>
      <c r="AK44" s="76" t="str">
        <f>IF(AJ44=MIN($AJ$42:$AJ$45),"YES!!!","Reject")</f>
        <v>Reject</v>
      </c>
      <c r="AL44" s="77"/>
      <c r="AM44" s="66"/>
      <c r="AN44" s="66"/>
      <c r="AO44" s="68"/>
      <c r="AP44" s="2"/>
      <c r="AQ44" s="74"/>
      <c r="AR44" s="77"/>
      <c r="AS44" s="77"/>
      <c r="AT44" s="6"/>
      <c r="AU44" s="117" t="s">
        <v>239</v>
      </c>
      <c r="AV44" s="65"/>
      <c r="AW44" s="65"/>
      <c r="AX44" s="6"/>
      <c r="AY44" s="99"/>
      <c r="AZ44" s="6"/>
      <c r="BA44" s="6"/>
      <c r="BB44" s="6"/>
      <c r="BC44" s="6"/>
      <c r="BD44" s="6"/>
      <c r="BE44" s="67"/>
      <c r="BI44" s="67"/>
      <c r="BJ44" s="65"/>
      <c r="BO44" s="65"/>
      <c r="CD44" s="64"/>
    </row>
    <row r="45" spans="1:82" s="106" customFormat="1" hidden="1">
      <c r="A45" s="68">
        <v>1355</v>
      </c>
      <c r="B45" s="7" t="s">
        <v>138</v>
      </c>
      <c r="C45" s="2"/>
      <c r="D45" s="6" t="s">
        <v>112</v>
      </c>
      <c r="E45" s="128" t="s">
        <v>113</v>
      </c>
      <c r="F45" s="2" t="s">
        <v>114</v>
      </c>
      <c r="G45" s="2" t="s">
        <v>183</v>
      </c>
      <c r="H45" s="4" t="s">
        <v>17</v>
      </c>
      <c r="I45" s="68" t="s">
        <v>18</v>
      </c>
      <c r="J45" s="7" t="s">
        <v>174</v>
      </c>
      <c r="K45" s="2"/>
      <c r="L45" s="162" t="s">
        <v>205</v>
      </c>
      <c r="M45" s="162" t="s">
        <v>205</v>
      </c>
      <c r="N45" s="162" t="s">
        <v>205</v>
      </c>
      <c r="O45" s="7" t="s">
        <v>15</v>
      </c>
      <c r="P45" s="7">
        <v>10</v>
      </c>
      <c r="Q45" s="7" t="s">
        <v>184</v>
      </c>
      <c r="R45" s="66" t="s">
        <v>16</v>
      </c>
      <c r="S45" s="4"/>
      <c r="T45" s="82">
        <v>10</v>
      </c>
      <c r="U45" s="66" t="s">
        <v>87</v>
      </c>
      <c r="V45" s="66">
        <f>VLOOKUP(U45,Tables!M$5:O$8,3,FALSE)</f>
        <v>1</v>
      </c>
      <c r="W45" s="66">
        <f>T45*V45</f>
        <v>10</v>
      </c>
      <c r="X45" s="6"/>
      <c r="Y45" s="71" t="str">
        <f>O45</f>
        <v>EC50</v>
      </c>
      <c r="Z45" s="71">
        <f>VLOOKUP(Y45,Tables!C$5:D$19,2,FALSE)</f>
        <v>5</v>
      </c>
      <c r="AA45" s="72">
        <f>W45/Z45</f>
        <v>2</v>
      </c>
      <c r="AB45" s="73" t="str">
        <f>R45</f>
        <v>Chronic</v>
      </c>
      <c r="AC45" s="71">
        <f>VLOOKUP(AB45,Tables!C$22:D$23,2,FALSE)</f>
        <v>1</v>
      </c>
      <c r="AD45" s="74">
        <f>AA45/AC45</f>
        <v>2</v>
      </c>
      <c r="AE45" s="117" t="s">
        <v>239</v>
      </c>
      <c r="AF45" s="131" t="str">
        <f>E45</f>
        <v>Isochrysis galbana</v>
      </c>
      <c r="AG45" s="83" t="str">
        <f>O45</f>
        <v>EC50</v>
      </c>
      <c r="AH45" s="83" t="str">
        <f>R45</f>
        <v>Chronic</v>
      </c>
      <c r="AI45" s="83"/>
      <c r="AJ45" s="71">
        <f>VLOOKUP(SUM(Z45,AC45),Tables!J$5:K$10,2,FALSE)</f>
        <v>2</v>
      </c>
      <c r="AK45" s="76" t="str">
        <f>IF(AJ45=MIN($AJ$42:$AJ$45),"YES!!!","Reject")</f>
        <v>Reject</v>
      </c>
      <c r="AL45" s="77"/>
      <c r="AM45" s="66"/>
      <c r="AN45" s="66"/>
      <c r="AO45" s="68"/>
      <c r="AP45" s="2"/>
      <c r="AQ45" s="74"/>
      <c r="AR45" s="6"/>
      <c r="AS45" s="6"/>
      <c r="AT45" s="6"/>
      <c r="AU45" s="117" t="s">
        <v>239</v>
      </c>
      <c r="AV45" s="65"/>
      <c r="AW45" s="65"/>
      <c r="AX45" s="6"/>
      <c r="AY45" s="99"/>
      <c r="AZ45" s="6"/>
      <c r="BA45" s="6"/>
      <c r="BB45" s="6"/>
      <c r="BC45" s="6"/>
      <c r="BD45" s="6"/>
      <c r="BE45" s="67"/>
      <c r="BI45" s="6"/>
      <c r="BJ45" s="2"/>
      <c r="BO45" s="2"/>
      <c r="BP45" s="2"/>
      <c r="BQ45" s="67"/>
      <c r="BR45" s="65"/>
      <c r="CD45" s="64"/>
    </row>
    <row r="46" spans="1:82" s="65" customFormat="1" ht="16.5" hidden="1" thickTop="1" thickBot="1">
      <c r="A46" s="40"/>
      <c r="B46" s="40"/>
      <c r="C46" s="34"/>
      <c r="D46" s="34"/>
      <c r="E46" s="168"/>
      <c r="F46" s="34"/>
      <c r="G46" s="34"/>
      <c r="H46" s="40"/>
      <c r="I46" s="40"/>
      <c r="J46" s="40"/>
      <c r="K46" s="34"/>
      <c r="L46" s="163"/>
      <c r="M46" s="163"/>
      <c r="N46" s="163"/>
      <c r="O46" s="40"/>
      <c r="P46" s="40"/>
      <c r="Q46" s="40"/>
      <c r="R46" s="40"/>
      <c r="S46" s="40"/>
      <c r="T46" s="40"/>
      <c r="U46" s="40"/>
      <c r="V46" s="70"/>
      <c r="W46" s="70"/>
      <c r="X46" s="34"/>
      <c r="Y46" s="40"/>
      <c r="Z46" s="40"/>
      <c r="AA46" s="70"/>
      <c r="AB46" s="40"/>
      <c r="AC46" s="40"/>
      <c r="AD46" s="70"/>
      <c r="AE46" s="40"/>
      <c r="AF46" s="100"/>
      <c r="AG46" s="81"/>
      <c r="AH46" s="81"/>
      <c r="AI46" s="34"/>
      <c r="AJ46" s="34"/>
      <c r="AK46" s="34"/>
      <c r="AL46" s="34"/>
      <c r="AM46" s="40"/>
      <c r="AN46" s="40"/>
      <c r="AO46" s="40"/>
      <c r="AP46" s="34"/>
      <c r="AQ46" s="70"/>
      <c r="AR46" s="34"/>
      <c r="AS46" s="34"/>
      <c r="AT46" s="34"/>
      <c r="AU46" s="40"/>
      <c r="AV46" s="50"/>
      <c r="AW46" s="50"/>
      <c r="AX46" s="90"/>
      <c r="AY46" s="100"/>
      <c r="AZ46" s="34"/>
      <c r="BA46" s="34"/>
      <c r="BB46" s="34"/>
      <c r="BC46" s="34"/>
      <c r="BD46" s="34"/>
      <c r="BE46" s="89"/>
      <c r="BF46" s="89"/>
      <c r="BG46" s="50"/>
      <c r="BH46" s="50"/>
      <c r="BI46" s="67"/>
      <c r="BJ46" s="2"/>
      <c r="BK46" s="106"/>
      <c r="BL46" s="106"/>
      <c r="BM46" s="106"/>
      <c r="BN46" s="106"/>
      <c r="BO46" s="2"/>
      <c r="BP46" s="2"/>
      <c r="BR46" s="2"/>
      <c r="BS46" s="106"/>
      <c r="BT46" s="106"/>
      <c r="CD46"/>
    </row>
    <row r="47" spans="1:82" s="65" customFormat="1" ht="35.25" hidden="1" customHeight="1" thickTop="1" thickBot="1">
      <c r="A47" s="66">
        <v>1359</v>
      </c>
      <c r="B47" s="66" t="s">
        <v>138</v>
      </c>
      <c r="C47" s="159" t="s">
        <v>248</v>
      </c>
      <c r="D47" s="106" t="s">
        <v>112</v>
      </c>
      <c r="E47" s="108" t="s">
        <v>142</v>
      </c>
      <c r="F47" s="106" t="s">
        <v>187</v>
      </c>
      <c r="G47" s="106" t="s">
        <v>188</v>
      </c>
      <c r="H47" s="66" t="s">
        <v>199</v>
      </c>
      <c r="I47" s="66" t="s">
        <v>56</v>
      </c>
      <c r="J47" s="66" t="s">
        <v>127</v>
      </c>
      <c r="K47" s="106"/>
      <c r="L47" s="162" t="s">
        <v>51</v>
      </c>
      <c r="M47" s="162" t="s">
        <v>51</v>
      </c>
      <c r="N47" s="162" t="s">
        <v>51</v>
      </c>
      <c r="O47" s="66" t="s">
        <v>20</v>
      </c>
      <c r="P47" s="66">
        <v>48</v>
      </c>
      <c r="Q47" s="66" t="s">
        <v>89</v>
      </c>
      <c r="R47" s="66" t="s">
        <v>48</v>
      </c>
      <c r="S47" s="138" t="s">
        <v>137</v>
      </c>
      <c r="T47" s="138">
        <v>1</v>
      </c>
      <c r="U47" s="138" t="s">
        <v>90</v>
      </c>
      <c r="V47" s="138">
        <f>VLOOKUP(U47,Tables!M$5:O$8,3,FALSE)</f>
        <v>1000</v>
      </c>
      <c r="W47" s="138">
        <f>T47*V47</f>
        <v>1000</v>
      </c>
      <c r="X47" s="139"/>
      <c r="Y47" s="140" t="str">
        <f>O47</f>
        <v>LC50</v>
      </c>
      <c r="Z47" s="140">
        <f>VLOOKUP(Y47,Tables!C$5:D$19,2,FALSE)</f>
        <v>5</v>
      </c>
      <c r="AA47" s="141">
        <f>W47/Z47</f>
        <v>200</v>
      </c>
      <c r="AB47" s="142" t="str">
        <f>R47</f>
        <v>Acute</v>
      </c>
      <c r="AC47" s="140">
        <f>VLOOKUP(AB47,Tables!C$22:D$23,2,FALSE)</f>
        <v>2</v>
      </c>
      <c r="AD47" s="143">
        <f>AA47/AC47</f>
        <v>100</v>
      </c>
      <c r="AE47" s="117" t="s">
        <v>239</v>
      </c>
      <c r="AF47" s="144" t="str">
        <f>E47</f>
        <v>Leiostomus xanthurus</v>
      </c>
      <c r="AG47" s="145" t="str">
        <f>O47</f>
        <v>LC50</v>
      </c>
      <c r="AH47" s="145" t="str">
        <f>R47</f>
        <v>Acute</v>
      </c>
      <c r="AI47" s="145"/>
      <c r="AJ47" s="140">
        <f>VLOOKUP(SUM(Z47,AC47),Tables!J$5:K$10,2,FALSE)</f>
        <v>4</v>
      </c>
      <c r="AK47" s="146" t="str">
        <f>IF(AJ47=MIN($AJ$47),"YES!!!","Reject")</f>
        <v>YES!!!</v>
      </c>
      <c r="AL47" s="146" t="str">
        <f>N47</f>
        <v>Mortality</v>
      </c>
      <c r="AM47" s="138" t="s">
        <v>105</v>
      </c>
      <c r="AN47" s="138" t="str">
        <f>CONCATENATE(P47," ",Q47)</f>
        <v>48 Hour</v>
      </c>
      <c r="AO47" s="138" t="s">
        <v>106</v>
      </c>
      <c r="AP47" s="139"/>
      <c r="AQ47" s="143">
        <f>AD47</f>
        <v>100</v>
      </c>
      <c r="AR47" s="146">
        <f>GEOMEAN(AQ47)</f>
        <v>100</v>
      </c>
      <c r="AS47" s="146">
        <f>MIN(AR47)</f>
        <v>100</v>
      </c>
      <c r="AT47" s="146">
        <f>MIN(AS47)</f>
        <v>100</v>
      </c>
      <c r="AU47" s="117" t="s">
        <v>239</v>
      </c>
      <c r="AV47" s="139"/>
      <c r="AW47" s="139"/>
      <c r="AX47" s="146"/>
      <c r="AY47" s="147"/>
      <c r="AZ47" s="146"/>
      <c r="BA47" s="148"/>
      <c r="BB47" s="148"/>
      <c r="BC47" s="149"/>
      <c r="BD47" s="146"/>
      <c r="BE47" s="117" t="s">
        <v>239</v>
      </c>
      <c r="BF47" s="117" t="s">
        <v>239</v>
      </c>
      <c r="BG47" s="112"/>
      <c r="BH47" s="112"/>
      <c r="BI47" s="6"/>
      <c r="BJ47" s="106"/>
      <c r="BK47" s="106"/>
      <c r="BL47" s="106"/>
      <c r="BM47" s="106"/>
      <c r="BN47" s="106"/>
      <c r="BQ47" s="2"/>
      <c r="BS47" s="106"/>
      <c r="BT47" s="106"/>
      <c r="CD47"/>
    </row>
    <row r="48" spans="1:82" s="65" customFormat="1" ht="16.5" hidden="1" thickTop="1" thickBot="1">
      <c r="A48" s="40"/>
      <c r="B48" s="40"/>
      <c r="C48" s="34"/>
      <c r="D48" s="34"/>
      <c r="E48" s="168"/>
      <c r="F48" s="34"/>
      <c r="G48" s="34"/>
      <c r="H48" s="40"/>
      <c r="I48" s="40"/>
      <c r="J48" s="40"/>
      <c r="K48" s="34"/>
      <c r="L48" s="163"/>
      <c r="M48" s="163"/>
      <c r="N48" s="163"/>
      <c r="O48" s="40"/>
      <c r="P48" s="40"/>
      <c r="Q48" s="40"/>
      <c r="R48" s="40"/>
      <c r="S48" s="40"/>
      <c r="T48" s="40"/>
      <c r="U48" s="40"/>
      <c r="V48" s="70"/>
      <c r="W48" s="70"/>
      <c r="X48" s="34"/>
      <c r="Y48" s="40"/>
      <c r="Z48" s="40"/>
      <c r="AA48" s="70"/>
      <c r="AB48" s="40"/>
      <c r="AC48" s="40"/>
      <c r="AD48" s="70"/>
      <c r="AE48" s="40"/>
      <c r="AF48" s="100"/>
      <c r="AG48" s="81"/>
      <c r="AH48" s="81"/>
      <c r="AI48" s="34"/>
      <c r="AJ48" s="34"/>
      <c r="AK48" s="34"/>
      <c r="AL48" s="34"/>
      <c r="AM48" s="40"/>
      <c r="AN48" s="40"/>
      <c r="AO48" s="40"/>
      <c r="AP48" s="34"/>
      <c r="AQ48" s="70"/>
      <c r="AR48" s="34"/>
      <c r="AS48" s="34"/>
      <c r="AT48" s="34"/>
      <c r="AU48" s="40"/>
      <c r="AV48" s="50"/>
      <c r="AW48" s="50"/>
      <c r="AX48" s="90"/>
      <c r="AY48" s="100"/>
      <c r="AZ48" s="34"/>
      <c r="BA48" s="34"/>
      <c r="BB48" s="34"/>
      <c r="BC48" s="34"/>
      <c r="BD48" s="34"/>
      <c r="BE48" s="89"/>
      <c r="BF48" s="89"/>
      <c r="BG48" s="50"/>
      <c r="BH48" s="50"/>
      <c r="BI48" s="6"/>
      <c r="BJ48" s="106"/>
      <c r="BK48" s="106"/>
      <c r="BL48" s="106"/>
      <c r="BM48" s="106"/>
      <c r="BN48" s="106"/>
      <c r="BQ48" s="2"/>
      <c r="BR48" s="2"/>
      <c r="BS48" s="106"/>
      <c r="BT48" s="106"/>
      <c r="CD48"/>
    </row>
    <row r="49" spans="1:107" s="2" customFormat="1">
      <c r="A49" s="68">
        <v>791</v>
      </c>
      <c r="B49" s="7">
        <v>1905</v>
      </c>
      <c r="D49" s="6" t="s">
        <v>80</v>
      </c>
      <c r="E49" s="128" t="s">
        <v>117</v>
      </c>
      <c r="F49" s="67" t="s">
        <v>83</v>
      </c>
      <c r="G49" s="67" t="s">
        <v>84</v>
      </c>
      <c r="H49" s="4" t="s">
        <v>85</v>
      </c>
      <c r="I49" s="68" t="s">
        <v>18</v>
      </c>
      <c r="J49" s="7" t="s">
        <v>174</v>
      </c>
      <c r="L49" s="162" t="str">
        <f>CONCATENATE(M49, " ", "(", N49, ")")</f>
        <v>Population (Abundance)</v>
      </c>
      <c r="M49" s="162" t="s">
        <v>202</v>
      </c>
      <c r="N49" s="162" t="s">
        <v>204</v>
      </c>
      <c r="O49" s="66" t="s">
        <v>15</v>
      </c>
      <c r="P49" s="78">
        <v>4</v>
      </c>
      <c r="Q49" s="68" t="s">
        <v>184</v>
      </c>
      <c r="R49" s="68" t="s">
        <v>48</v>
      </c>
      <c r="S49" s="4"/>
      <c r="T49" s="4">
        <v>6.74</v>
      </c>
      <c r="U49" s="4" t="s">
        <v>62</v>
      </c>
      <c r="V49" s="66">
        <f>VLOOKUP(U49,Tables!M$5:O$8,3,FALSE)</f>
        <v>1</v>
      </c>
      <c r="W49" s="66">
        <f>T49*V49</f>
        <v>6.74</v>
      </c>
      <c r="X49" s="6"/>
      <c r="Y49" s="71" t="str">
        <f>O49</f>
        <v>EC50</v>
      </c>
      <c r="Z49" s="71">
        <f>VLOOKUP(Y49,Tables!C$5:D$19,2,FALSE)</f>
        <v>5</v>
      </c>
      <c r="AA49" s="72">
        <f>W49/Z49</f>
        <v>1.3480000000000001</v>
      </c>
      <c r="AB49" s="73" t="str">
        <f>R49</f>
        <v>Acute</v>
      </c>
      <c r="AC49" s="71">
        <f>VLOOKUP(AB49,Tables!C$22:D$23,2,FALSE)</f>
        <v>2</v>
      </c>
      <c r="AD49" s="74">
        <f>AA49/AC49</f>
        <v>0.67400000000000004</v>
      </c>
      <c r="AE49" s="117" t="s">
        <v>239</v>
      </c>
      <c r="AF49" s="131" t="str">
        <f>E49</f>
        <v>Lemna aequinoctialis</v>
      </c>
      <c r="AG49" s="83" t="str">
        <f>O49</f>
        <v>EC50</v>
      </c>
      <c r="AH49" s="83" t="str">
        <f>R49</f>
        <v>Acute</v>
      </c>
      <c r="AI49" s="83"/>
      <c r="AJ49" s="71">
        <f>VLOOKUP(SUM(Z49,AC49),Tables!J$5:K$10,2,FALSE)</f>
        <v>4</v>
      </c>
      <c r="AK49" s="76" t="str">
        <f>IF(AJ49=MIN($AJ$49:$AJ$50),"YES!!!","Reject")</f>
        <v>YES!!!</v>
      </c>
      <c r="AL49" s="77" t="str">
        <f>N49</f>
        <v>Abundance</v>
      </c>
      <c r="AM49" s="68" t="s">
        <v>105</v>
      </c>
      <c r="AN49" s="66" t="str">
        <f>CONCATENATE(P49," ",Q49)</f>
        <v>4 Day</v>
      </c>
      <c r="AO49" s="68" t="s">
        <v>106</v>
      </c>
      <c r="AP49" s="106"/>
      <c r="AQ49" s="74">
        <f>AD49</f>
        <v>0.67400000000000004</v>
      </c>
      <c r="AR49" s="77">
        <f>GEOMEAN(AQ49)</f>
        <v>0.67400000000000004</v>
      </c>
      <c r="AS49" s="77">
        <f>MIN(AR49)</f>
        <v>0.67400000000000004</v>
      </c>
      <c r="AT49" s="77">
        <f>MIN(AS49)</f>
        <v>0.67400000000000004</v>
      </c>
      <c r="AU49" s="117" t="s">
        <v>239</v>
      </c>
      <c r="AV49" s="65"/>
      <c r="AW49" s="65"/>
      <c r="AX49" s="77" t="str">
        <f>H49</f>
        <v>Macrophyte</v>
      </c>
      <c r="AY49" s="102" t="str">
        <f>E49</f>
        <v>Lemna aequinoctialis</v>
      </c>
      <c r="AZ49" s="77" t="str">
        <f>F49</f>
        <v>Tracheophyta</v>
      </c>
      <c r="BA49" s="97" t="str">
        <f>G49</f>
        <v>Liliopsida</v>
      </c>
      <c r="BB49" s="97" t="str">
        <f>I49</f>
        <v>Phototroph</v>
      </c>
      <c r="BC49" s="86">
        <f>AJ49</f>
        <v>4</v>
      </c>
      <c r="BD49" s="77">
        <f>AT49</f>
        <v>0.67400000000000004</v>
      </c>
      <c r="BE49" s="117" t="s">
        <v>239</v>
      </c>
      <c r="BF49" s="117" t="s">
        <v>239</v>
      </c>
      <c r="BG49" s="112"/>
      <c r="BH49" s="112"/>
      <c r="BI49" s="67"/>
      <c r="BJ49" s="106"/>
      <c r="BK49" s="106"/>
      <c r="BL49" s="106"/>
      <c r="BM49" s="106"/>
      <c r="BN49" s="106"/>
      <c r="BO49" s="65"/>
      <c r="BP49" s="65"/>
      <c r="BQ49" s="65"/>
      <c r="BS49" s="106"/>
      <c r="BT49" s="106"/>
      <c r="CD49"/>
    </row>
    <row r="50" spans="1:107" s="65" customFormat="1">
      <c r="A50" s="68">
        <v>791</v>
      </c>
      <c r="B50" s="7">
        <v>1924</v>
      </c>
      <c r="C50" s="2"/>
      <c r="D50" s="67" t="s">
        <v>80</v>
      </c>
      <c r="E50" s="128" t="s">
        <v>117</v>
      </c>
      <c r="F50" s="67" t="s">
        <v>83</v>
      </c>
      <c r="G50" s="67" t="s">
        <v>84</v>
      </c>
      <c r="H50" s="4" t="s">
        <v>85</v>
      </c>
      <c r="I50" s="68" t="s">
        <v>18</v>
      </c>
      <c r="J50" s="7" t="s">
        <v>174</v>
      </c>
      <c r="K50" s="2"/>
      <c r="L50" s="162" t="str">
        <f>CONCATENATE(M50, " ", "(", N50, ")")</f>
        <v>Population (Abundance)</v>
      </c>
      <c r="M50" s="162" t="s">
        <v>202</v>
      </c>
      <c r="N50" s="162" t="s">
        <v>204</v>
      </c>
      <c r="O50" s="66" t="s">
        <v>25</v>
      </c>
      <c r="P50" s="78">
        <v>4</v>
      </c>
      <c r="Q50" s="68" t="s">
        <v>184</v>
      </c>
      <c r="R50" s="68" t="s">
        <v>48</v>
      </c>
      <c r="S50" s="4"/>
      <c r="T50" s="4">
        <v>1.0900000000000001</v>
      </c>
      <c r="U50" s="4" t="s">
        <v>62</v>
      </c>
      <c r="V50" s="66">
        <f>VLOOKUP(U50,Tables!M$5:O$8,3,FALSE)</f>
        <v>1</v>
      </c>
      <c r="W50" s="66">
        <f>T50*V50</f>
        <v>1.0900000000000001</v>
      </c>
      <c r="X50" s="6"/>
      <c r="Y50" s="71" t="str">
        <f>O50</f>
        <v>EC10</v>
      </c>
      <c r="Z50" s="71">
        <f>VLOOKUP(Y50,Tables!C$5:D$19,2,FALSE)</f>
        <v>1</v>
      </c>
      <c r="AA50" s="72">
        <f>W50/Z50</f>
        <v>1.0900000000000001</v>
      </c>
      <c r="AB50" s="73" t="str">
        <f>R50</f>
        <v>Acute</v>
      </c>
      <c r="AC50" s="71">
        <f>VLOOKUP(AB50,Tables!C$22:D$23,2,FALSE)</f>
        <v>2</v>
      </c>
      <c r="AD50" s="74">
        <f>AA50/AC50</f>
        <v>0.54500000000000004</v>
      </c>
      <c r="AE50" s="117" t="s">
        <v>239</v>
      </c>
      <c r="AF50" s="131" t="str">
        <f>E50</f>
        <v>Lemna aequinoctialis</v>
      </c>
      <c r="AG50" s="83" t="str">
        <f>O50</f>
        <v>EC10</v>
      </c>
      <c r="AH50" s="83" t="str">
        <f>R50</f>
        <v>Acute</v>
      </c>
      <c r="AI50" s="83"/>
      <c r="AJ50" s="71" t="str">
        <f>VLOOKUP(SUM(Z50,AC50),Tables!J$5:K$10,2,FALSE)</f>
        <v>Do Not Use</v>
      </c>
      <c r="AK50" s="76" t="str">
        <f>IF(AJ50=MIN($AJ$49:$AJ$50),"YES!!!","Reject")</f>
        <v>Reject</v>
      </c>
      <c r="AL50" s="77"/>
      <c r="AM50" s="68"/>
      <c r="AN50" s="66"/>
      <c r="AO50" s="68"/>
      <c r="AP50" s="2"/>
      <c r="AQ50" s="74"/>
      <c r="AR50" s="77"/>
      <c r="AS50" s="77"/>
      <c r="AT50" s="77"/>
      <c r="AU50" s="117" t="s">
        <v>239</v>
      </c>
      <c r="AX50" s="77"/>
      <c r="AY50" s="102"/>
      <c r="AZ50" s="77"/>
      <c r="BA50" s="97"/>
      <c r="BB50" s="97"/>
      <c r="BC50" s="86"/>
      <c r="BD50" s="77"/>
      <c r="BE50" s="77"/>
      <c r="BF50" s="87"/>
      <c r="BG50" s="87"/>
      <c r="BH50" s="87"/>
      <c r="BI50" s="67"/>
      <c r="BJ50" s="106"/>
      <c r="BK50" s="106"/>
      <c r="BL50" s="106"/>
      <c r="BM50" s="106"/>
      <c r="BN50" s="106"/>
      <c r="BO50" s="2"/>
      <c r="BP50" s="2"/>
      <c r="BQ50" s="2"/>
      <c r="BS50" s="106"/>
      <c r="BT50" s="106"/>
      <c r="CD50"/>
    </row>
    <row r="51" spans="1:107" s="2" customFormat="1" ht="16.5" hidden="1" thickTop="1" thickBot="1">
      <c r="A51" s="40"/>
      <c r="B51" s="40"/>
      <c r="C51" s="34"/>
      <c r="D51" s="34"/>
      <c r="E51" s="168"/>
      <c r="F51" s="34"/>
      <c r="G51" s="34"/>
      <c r="H51" s="40"/>
      <c r="I51" s="40"/>
      <c r="J51" s="40"/>
      <c r="K51" s="34"/>
      <c r="L51" s="163"/>
      <c r="M51" s="163"/>
      <c r="N51" s="163"/>
      <c r="O51" s="40"/>
      <c r="P51" s="40"/>
      <c r="Q51" s="40"/>
      <c r="R51" s="40"/>
      <c r="S51" s="40"/>
      <c r="T51" s="40"/>
      <c r="U51" s="40"/>
      <c r="V51" s="70"/>
      <c r="W51" s="70"/>
      <c r="X51" s="34"/>
      <c r="Y51" s="40"/>
      <c r="Z51" s="40"/>
      <c r="AA51" s="70"/>
      <c r="AB51" s="40"/>
      <c r="AC51" s="40"/>
      <c r="AD51" s="70"/>
      <c r="AE51" s="40"/>
      <c r="AF51" s="100"/>
      <c r="AG51" s="81"/>
      <c r="AH51" s="81"/>
      <c r="AI51" s="34"/>
      <c r="AJ51" s="34"/>
      <c r="AK51" s="34"/>
      <c r="AL51" s="34"/>
      <c r="AM51" s="40"/>
      <c r="AN51" s="40"/>
      <c r="AO51" s="40"/>
      <c r="AP51" s="34"/>
      <c r="AQ51" s="70"/>
      <c r="AR51" s="34"/>
      <c r="AS51" s="34"/>
      <c r="AT51" s="34"/>
      <c r="AU51" s="40"/>
      <c r="AV51" s="50"/>
      <c r="AW51" s="50"/>
      <c r="AX51" s="90"/>
      <c r="AY51" s="100"/>
      <c r="AZ51" s="34"/>
      <c r="BA51" s="34"/>
      <c r="BB51" s="34"/>
      <c r="BC51" s="34"/>
      <c r="BD51" s="34"/>
      <c r="BE51" s="89"/>
      <c r="BF51" s="89"/>
      <c r="BG51" s="50"/>
      <c r="BH51" s="50"/>
      <c r="BI51" s="67"/>
      <c r="BJ51" s="106"/>
      <c r="BK51" s="106"/>
      <c r="BL51" s="106"/>
      <c r="BM51" s="106"/>
      <c r="BN51" s="106"/>
      <c r="BQ51" s="65"/>
      <c r="BR51" s="67"/>
      <c r="BS51" s="106"/>
      <c r="BT51" s="106"/>
      <c r="CD51"/>
    </row>
    <row r="52" spans="1:107" s="2" customFormat="1">
      <c r="A52" s="68">
        <v>24240</v>
      </c>
      <c r="B52" s="7" t="s">
        <v>123</v>
      </c>
      <c r="D52" s="6" t="s">
        <v>80</v>
      </c>
      <c r="E52" s="128" t="s">
        <v>86</v>
      </c>
      <c r="F52" s="2" t="s">
        <v>83</v>
      </c>
      <c r="G52" s="2" t="s">
        <v>84</v>
      </c>
      <c r="H52" s="4" t="s">
        <v>85</v>
      </c>
      <c r="I52" s="68" t="s">
        <v>18</v>
      </c>
      <c r="J52" s="7" t="s">
        <v>174</v>
      </c>
      <c r="L52" s="162" t="s">
        <v>207</v>
      </c>
      <c r="M52" s="162" t="s">
        <v>208</v>
      </c>
      <c r="N52" s="162" t="s">
        <v>209</v>
      </c>
      <c r="O52" s="7" t="s">
        <v>15</v>
      </c>
      <c r="P52" s="7">
        <v>7</v>
      </c>
      <c r="Q52" s="7" t="s">
        <v>184</v>
      </c>
      <c r="R52" s="66" t="s">
        <v>16</v>
      </c>
      <c r="S52" s="4"/>
      <c r="T52" s="82">
        <v>13</v>
      </c>
      <c r="U52" s="4" t="s">
        <v>87</v>
      </c>
      <c r="V52" s="66">
        <f>VLOOKUP(U52,Tables!M$5:O$8,3,FALSE)</f>
        <v>1</v>
      </c>
      <c r="W52" s="66">
        <f t="shared" ref="W52:W106" si="9">T52*V52</f>
        <v>13</v>
      </c>
      <c r="X52" s="6"/>
      <c r="Y52" s="71" t="str">
        <f>O52</f>
        <v>EC50</v>
      </c>
      <c r="Z52" s="71">
        <f>VLOOKUP(Y52,Tables!C$5:D$19,2,FALSE)</f>
        <v>5</v>
      </c>
      <c r="AA52" s="72">
        <f>W52/Z52</f>
        <v>2.6</v>
      </c>
      <c r="AB52" s="73" t="str">
        <f>R52</f>
        <v>Chronic</v>
      </c>
      <c r="AC52" s="71">
        <f>VLOOKUP(AB52,Tables!C$22:D$23,2,FALSE)</f>
        <v>1</v>
      </c>
      <c r="AD52" s="74">
        <f>AA52/AC52</f>
        <v>2.6</v>
      </c>
      <c r="AE52" s="117" t="s">
        <v>239</v>
      </c>
      <c r="AF52" s="131" t="str">
        <f>E52</f>
        <v>Lemna gibba</v>
      </c>
      <c r="AG52" s="83" t="str">
        <f>O52</f>
        <v>EC50</v>
      </c>
      <c r="AH52" s="83" t="str">
        <f>R52</f>
        <v>Chronic</v>
      </c>
      <c r="AI52" s="83"/>
      <c r="AJ52" s="71">
        <f>VLOOKUP(SUM(Z52,AC52),Tables!J$5:K$10,2,FALSE)</f>
        <v>2</v>
      </c>
      <c r="AK52" s="76" t="str">
        <f>IF(AJ52=MIN($AJ$52:$AJ$53),"YES!!!","Reject")</f>
        <v>Reject</v>
      </c>
      <c r="AL52" s="77"/>
      <c r="AM52" s="66"/>
      <c r="AN52" s="66"/>
      <c r="AO52" s="68"/>
      <c r="AQ52" s="74"/>
      <c r="AU52" s="117" t="s">
        <v>239</v>
      </c>
      <c r="AV52" s="65"/>
      <c r="AW52" s="65"/>
      <c r="AX52" s="6"/>
      <c r="AY52" s="99"/>
      <c r="AZ52" s="6"/>
      <c r="BA52" s="6"/>
      <c r="BB52" s="6"/>
      <c r="BC52" s="6"/>
      <c r="BD52" s="6"/>
      <c r="BE52" s="67"/>
      <c r="BF52" s="106"/>
      <c r="BG52" s="106"/>
      <c r="BH52" s="106"/>
      <c r="BJ52" s="106"/>
      <c r="BK52" s="106"/>
      <c r="BL52" s="106"/>
      <c r="BM52" s="106"/>
      <c r="BN52" s="106"/>
      <c r="BO52" s="65"/>
      <c r="BP52" s="65"/>
      <c r="BR52" s="65"/>
      <c r="BS52" s="106"/>
      <c r="BT52" s="106"/>
      <c r="CD52"/>
    </row>
    <row r="53" spans="1:107" s="65" customFormat="1">
      <c r="A53" s="68">
        <v>24240</v>
      </c>
      <c r="B53" s="7" t="s">
        <v>123</v>
      </c>
      <c r="C53" s="2"/>
      <c r="D53" s="6" t="s">
        <v>80</v>
      </c>
      <c r="E53" s="128" t="s">
        <v>86</v>
      </c>
      <c r="F53" s="2" t="s">
        <v>83</v>
      </c>
      <c r="G53" s="2" t="s">
        <v>84</v>
      </c>
      <c r="H53" s="4" t="s">
        <v>85</v>
      </c>
      <c r="I53" s="68" t="s">
        <v>18</v>
      </c>
      <c r="J53" s="7" t="s">
        <v>174</v>
      </c>
      <c r="K53" s="2"/>
      <c r="L53" s="162" t="s">
        <v>207</v>
      </c>
      <c r="M53" s="162" t="s">
        <v>208</v>
      </c>
      <c r="N53" s="162" t="s">
        <v>209</v>
      </c>
      <c r="O53" s="7" t="s">
        <v>109</v>
      </c>
      <c r="P53" s="7">
        <v>7</v>
      </c>
      <c r="Q53" s="7" t="s">
        <v>184</v>
      </c>
      <c r="R53" s="66" t="s">
        <v>16</v>
      </c>
      <c r="S53" s="4"/>
      <c r="T53" s="82">
        <v>2</v>
      </c>
      <c r="U53" s="4" t="s">
        <v>87</v>
      </c>
      <c r="V53" s="66">
        <f>VLOOKUP(U53,Tables!M$5:O$8,3,FALSE)</f>
        <v>1</v>
      </c>
      <c r="W53" s="66">
        <f t="shared" si="9"/>
        <v>2</v>
      </c>
      <c r="X53" s="6"/>
      <c r="Y53" s="71" t="str">
        <f>O53</f>
        <v>NOEL</v>
      </c>
      <c r="Z53" s="71">
        <f>VLOOKUP(Y53,Tables!C$5:D$19,2,FALSE)</f>
        <v>1</v>
      </c>
      <c r="AA53" s="72">
        <f>W53/Z53</f>
        <v>2</v>
      </c>
      <c r="AB53" s="73" t="str">
        <f>R53</f>
        <v>Chronic</v>
      </c>
      <c r="AC53" s="71">
        <f>VLOOKUP(AB53,Tables!C$22:D$23,2,FALSE)</f>
        <v>1</v>
      </c>
      <c r="AD53" s="74">
        <f>AA53/AC53</f>
        <v>2</v>
      </c>
      <c r="AE53" s="117" t="s">
        <v>239</v>
      </c>
      <c r="AF53" s="131" t="str">
        <f>E53</f>
        <v>Lemna gibba</v>
      </c>
      <c r="AG53" s="83" t="str">
        <f>O53</f>
        <v>NOEL</v>
      </c>
      <c r="AH53" s="83" t="str">
        <f>R53</f>
        <v>Chronic</v>
      </c>
      <c r="AI53" s="83"/>
      <c r="AJ53" s="71">
        <f>VLOOKUP(SUM(Z53,AC53),Tables!J$5:K$10,2,FALSE)</f>
        <v>1</v>
      </c>
      <c r="AK53" s="76" t="str">
        <f>IF(AJ53=MIN($AJ$52:$AJ$53),"YES!!!","Reject")</f>
        <v>YES!!!</v>
      </c>
      <c r="AL53" s="77" t="str">
        <f>N53</f>
        <v>Total frond number, growth rate, mortality</v>
      </c>
      <c r="AM53" s="68" t="s">
        <v>105</v>
      </c>
      <c r="AN53" s="66" t="str">
        <f>CONCATENATE(P53," ",Q53)</f>
        <v>7 Day</v>
      </c>
      <c r="AO53" s="68" t="s">
        <v>106</v>
      </c>
      <c r="AP53" s="2"/>
      <c r="AQ53" s="74">
        <f>AD53</f>
        <v>2</v>
      </c>
      <c r="AR53" s="77">
        <f>GEOMEAN(AQ53)</f>
        <v>2</v>
      </c>
      <c r="AS53" s="77">
        <f>MIN(AR53)</f>
        <v>2</v>
      </c>
      <c r="AT53" s="77">
        <f>MIN(AS53)</f>
        <v>2</v>
      </c>
      <c r="AU53" s="117" t="s">
        <v>239</v>
      </c>
      <c r="AX53" s="77" t="str">
        <f>H53</f>
        <v>Macrophyte</v>
      </c>
      <c r="AY53" s="102" t="str">
        <f>E53</f>
        <v>Lemna gibba</v>
      </c>
      <c r="AZ53" s="77" t="str">
        <f>F53</f>
        <v>Tracheophyta</v>
      </c>
      <c r="BA53" s="97" t="str">
        <f>G53</f>
        <v>Liliopsida</v>
      </c>
      <c r="BB53" s="97" t="str">
        <f>I53</f>
        <v>Phototroph</v>
      </c>
      <c r="BC53" s="86">
        <f>AJ53</f>
        <v>1</v>
      </c>
      <c r="BD53" s="77">
        <f>AT53</f>
        <v>2</v>
      </c>
      <c r="BE53" s="117" t="s">
        <v>239</v>
      </c>
      <c r="BF53" s="117" t="s">
        <v>239</v>
      </c>
      <c r="BG53" s="112"/>
      <c r="BH53" s="112"/>
      <c r="BI53" s="6"/>
      <c r="BJ53" s="106"/>
      <c r="BK53" s="106"/>
      <c r="BL53" s="106"/>
      <c r="BM53" s="106"/>
      <c r="BN53" s="106"/>
      <c r="BO53" s="106"/>
      <c r="BP53" s="106"/>
      <c r="BQ53" s="106"/>
      <c r="BR53" s="106"/>
      <c r="BS53" s="67"/>
      <c r="BT53" s="106"/>
      <c r="CD53"/>
    </row>
    <row r="54" spans="1:107" s="65" customFormat="1" ht="16.5" hidden="1" thickTop="1" thickBot="1">
      <c r="A54" s="40"/>
      <c r="B54" s="40"/>
      <c r="C54" s="34"/>
      <c r="D54" s="34"/>
      <c r="E54" s="168"/>
      <c r="F54" s="34"/>
      <c r="G54" s="34"/>
      <c r="H54" s="40"/>
      <c r="I54" s="40"/>
      <c r="J54" s="40"/>
      <c r="K54" s="34"/>
      <c r="L54" s="163"/>
      <c r="M54" s="163"/>
      <c r="N54" s="163"/>
      <c r="O54" s="40"/>
      <c r="P54" s="40"/>
      <c r="Q54" s="40"/>
      <c r="R54" s="40"/>
      <c r="S54" s="40"/>
      <c r="T54" s="40"/>
      <c r="U54" s="40"/>
      <c r="V54" s="70"/>
      <c r="W54" s="70"/>
      <c r="X54" s="34"/>
      <c r="Y54" s="40"/>
      <c r="Z54" s="40"/>
      <c r="AA54" s="70"/>
      <c r="AB54" s="40"/>
      <c r="AC54" s="40"/>
      <c r="AD54" s="70"/>
      <c r="AE54" s="40"/>
      <c r="AF54" s="100"/>
      <c r="AG54" s="81"/>
      <c r="AH54" s="81"/>
      <c r="AI54" s="34"/>
      <c r="AJ54" s="34"/>
      <c r="AK54" s="34"/>
      <c r="AL54" s="34"/>
      <c r="AM54" s="40"/>
      <c r="AN54" s="40"/>
      <c r="AO54" s="40"/>
      <c r="AP54" s="34"/>
      <c r="AQ54" s="70"/>
      <c r="AR54" s="34"/>
      <c r="AS54" s="34"/>
      <c r="AT54" s="34"/>
      <c r="AU54" s="40"/>
      <c r="AV54" s="50"/>
      <c r="AW54" s="50"/>
      <c r="AX54" s="90"/>
      <c r="AY54" s="100"/>
      <c r="AZ54" s="34"/>
      <c r="BA54" s="34"/>
      <c r="BB54" s="34"/>
      <c r="BC54" s="34"/>
      <c r="BD54" s="34"/>
      <c r="BE54" s="89"/>
      <c r="BF54" s="89"/>
      <c r="BG54" s="50"/>
      <c r="BH54" s="50"/>
      <c r="BI54" s="67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</row>
    <row r="55" spans="1:107" s="65" customFormat="1">
      <c r="A55" s="68">
        <v>1664</v>
      </c>
      <c r="B55" s="7" t="s">
        <v>130</v>
      </c>
      <c r="C55" s="2"/>
      <c r="D55" s="67" t="s">
        <v>80</v>
      </c>
      <c r="E55" s="128" t="s">
        <v>131</v>
      </c>
      <c r="F55" s="2" t="s">
        <v>187</v>
      </c>
      <c r="G55" s="2" t="s">
        <v>188</v>
      </c>
      <c r="H55" s="4" t="s">
        <v>199</v>
      </c>
      <c r="I55" s="4" t="s">
        <v>56</v>
      </c>
      <c r="J55" s="7" t="s">
        <v>174</v>
      </c>
      <c r="K55" s="2"/>
      <c r="L55" s="162" t="s">
        <v>51</v>
      </c>
      <c r="M55" s="162" t="s">
        <v>51</v>
      </c>
      <c r="N55" s="162" t="s">
        <v>51</v>
      </c>
      <c r="O55" s="7" t="s">
        <v>20</v>
      </c>
      <c r="P55" s="7">
        <v>96</v>
      </c>
      <c r="Q55" s="4" t="s">
        <v>89</v>
      </c>
      <c r="R55" s="66" t="s">
        <v>48</v>
      </c>
      <c r="S55" s="4"/>
      <c r="T55" s="82">
        <v>8.5</v>
      </c>
      <c r="U55" s="4" t="s">
        <v>90</v>
      </c>
      <c r="V55" s="66">
        <f>VLOOKUP(U55,Tables!M$5:O$8,3,FALSE)</f>
        <v>1000</v>
      </c>
      <c r="W55" s="66">
        <f t="shared" si="9"/>
        <v>8500</v>
      </c>
      <c r="X55" s="66"/>
      <c r="Y55" s="71" t="str">
        <f>O55</f>
        <v>LC50</v>
      </c>
      <c r="Z55" s="71">
        <f>VLOOKUP(Y55,Tables!C$5:D$19,2,FALSE)</f>
        <v>5</v>
      </c>
      <c r="AA55" s="72">
        <f>W55/Z55</f>
        <v>1700</v>
      </c>
      <c r="AB55" s="73" t="str">
        <f>R55</f>
        <v>Acute</v>
      </c>
      <c r="AC55" s="71">
        <f>VLOOKUP(AB55,Tables!C$22:D$23,2,FALSE)</f>
        <v>2</v>
      </c>
      <c r="AD55" s="74">
        <f>AA55/AC55</f>
        <v>850</v>
      </c>
      <c r="AE55" s="117" t="s">
        <v>239</v>
      </c>
      <c r="AF55" s="131" t="str">
        <f>E55</f>
        <v>Lepomis macrochirus</v>
      </c>
      <c r="AG55" s="83" t="str">
        <f>O55</f>
        <v>LC50</v>
      </c>
      <c r="AH55" s="83" t="str">
        <f>R55</f>
        <v>Acute</v>
      </c>
      <c r="AI55" s="83"/>
      <c r="AJ55" s="71">
        <f>VLOOKUP(SUM(Z55,AC55),Tables!J$5:K$10,2,FALSE)</f>
        <v>4</v>
      </c>
      <c r="AK55" s="63" t="str">
        <f>IF(AJ55=MIN($AJ$55:$AJ$58),"YES!!!","Reject")</f>
        <v>YES!!!</v>
      </c>
      <c r="AL55" s="77" t="str">
        <f>N55</f>
        <v>Mortality</v>
      </c>
      <c r="AM55" s="68" t="s">
        <v>105</v>
      </c>
      <c r="AN55" s="66" t="str">
        <f>CONCATENATE(P55," ",Q55)</f>
        <v>96 Hour</v>
      </c>
      <c r="AO55" s="68" t="s">
        <v>106</v>
      </c>
      <c r="AP55" s="2"/>
      <c r="AQ55" s="74">
        <f>AD55</f>
        <v>850</v>
      </c>
      <c r="AR55" s="77">
        <f>GEOMEAN(AQ55:AQ58)</f>
        <v>505.20561505841317</v>
      </c>
      <c r="AS55" s="77">
        <f>MIN(AR55)</f>
        <v>505.20561505841317</v>
      </c>
      <c r="AT55" s="77">
        <f>MIN(AS55)</f>
        <v>505.20561505841317</v>
      </c>
      <c r="AU55" s="117" t="s">
        <v>239</v>
      </c>
      <c r="AX55" s="77" t="str">
        <f>H55</f>
        <v>Fish</v>
      </c>
      <c r="AY55" s="102" t="str">
        <f>E55</f>
        <v>Lepomis macrochirus</v>
      </c>
      <c r="AZ55" s="77" t="str">
        <f>F55</f>
        <v>Chordata</v>
      </c>
      <c r="BA55" s="97" t="str">
        <f>G55</f>
        <v>Actinopterygii</v>
      </c>
      <c r="BB55" s="97" t="str">
        <f>I55</f>
        <v>Heterotroph</v>
      </c>
      <c r="BC55" s="86">
        <f>AJ55</f>
        <v>4</v>
      </c>
      <c r="BD55" s="77">
        <f>AT55</f>
        <v>505.20561505841317</v>
      </c>
      <c r="BE55" s="117" t="s">
        <v>239</v>
      </c>
      <c r="BF55" s="117" t="s">
        <v>239</v>
      </c>
      <c r="BG55" s="112"/>
      <c r="BH55" s="112"/>
      <c r="BI55" s="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CD55"/>
    </row>
    <row r="56" spans="1:107" s="106" customFormat="1">
      <c r="A56" s="68">
        <v>1664</v>
      </c>
      <c r="B56" s="7" t="s">
        <v>130</v>
      </c>
      <c r="C56" s="2"/>
      <c r="D56" s="6" t="s">
        <v>80</v>
      </c>
      <c r="E56" s="128" t="s">
        <v>131</v>
      </c>
      <c r="F56" s="2" t="s">
        <v>187</v>
      </c>
      <c r="G56" s="2" t="s">
        <v>188</v>
      </c>
      <c r="H56" s="4" t="s">
        <v>199</v>
      </c>
      <c r="I56" s="66" t="s">
        <v>56</v>
      </c>
      <c r="J56" s="7" t="s">
        <v>174</v>
      </c>
      <c r="K56" s="2"/>
      <c r="L56" s="162" t="s">
        <v>51</v>
      </c>
      <c r="M56" s="162" t="s">
        <v>51</v>
      </c>
      <c r="N56" s="162" t="s">
        <v>51</v>
      </c>
      <c r="O56" s="7" t="s">
        <v>109</v>
      </c>
      <c r="P56" s="7">
        <v>96</v>
      </c>
      <c r="Q56" s="66" t="s">
        <v>89</v>
      </c>
      <c r="R56" s="66" t="s">
        <v>48</v>
      </c>
      <c r="S56" s="4"/>
      <c r="T56" s="82">
        <v>6.4</v>
      </c>
      <c r="U56" s="4" t="s">
        <v>90</v>
      </c>
      <c r="V56" s="66">
        <f>VLOOKUP(U56,Tables!M$5:O$8,3,FALSE)</f>
        <v>1000</v>
      </c>
      <c r="W56" s="66">
        <f t="shared" si="9"/>
        <v>6400</v>
      </c>
      <c r="X56" s="66"/>
      <c r="Y56" s="71" t="str">
        <f>O56</f>
        <v>NOEL</v>
      </c>
      <c r="Z56" s="71">
        <f>VLOOKUP(Y56,Tables!C$5:D$19,2,FALSE)</f>
        <v>1</v>
      </c>
      <c r="AA56" s="72">
        <f>W56/Z56</f>
        <v>6400</v>
      </c>
      <c r="AB56" s="73" t="str">
        <f>R56</f>
        <v>Acute</v>
      </c>
      <c r="AC56" s="71">
        <f>VLOOKUP(AB56,Tables!C$22:D$23,2,FALSE)</f>
        <v>2</v>
      </c>
      <c r="AD56" s="74">
        <f>AA56/AC56</f>
        <v>3200</v>
      </c>
      <c r="AE56" s="117" t="s">
        <v>239</v>
      </c>
      <c r="AF56" s="131" t="str">
        <f>E56</f>
        <v>Lepomis macrochirus</v>
      </c>
      <c r="AG56" s="83" t="str">
        <f>O56</f>
        <v>NOEL</v>
      </c>
      <c r="AH56" s="83" t="str">
        <f>R56</f>
        <v>Acute</v>
      </c>
      <c r="AI56" s="83"/>
      <c r="AJ56" s="71" t="str">
        <f>VLOOKUP(SUM(Z56,AC56),Tables!J$5:K$10,2,FALSE)</f>
        <v>Do Not Use</v>
      </c>
      <c r="AK56" s="63" t="str">
        <f>IF(AJ56=MIN($AJ$55:$AJ$58),"YES!!!","Reject")</f>
        <v>Reject</v>
      </c>
      <c r="AL56" s="77"/>
      <c r="AM56" s="68"/>
      <c r="AN56" s="66"/>
      <c r="AO56" s="68"/>
      <c r="AP56" s="2"/>
      <c r="AQ56" s="74"/>
      <c r="AR56" s="77"/>
      <c r="AS56" s="77"/>
      <c r="AT56" s="77"/>
      <c r="AU56" s="117" t="s">
        <v>239</v>
      </c>
      <c r="AV56" s="65"/>
      <c r="AW56" s="65"/>
      <c r="AX56" s="77"/>
      <c r="AY56" s="102"/>
      <c r="AZ56" s="77"/>
      <c r="BA56" s="85"/>
      <c r="BB56" s="85"/>
      <c r="BC56" s="86"/>
      <c r="BD56" s="77"/>
      <c r="BE56" s="77"/>
      <c r="BF56" s="87"/>
      <c r="BG56" s="87"/>
      <c r="BH56" s="87"/>
      <c r="CD56" s="64"/>
    </row>
    <row r="57" spans="1:107" s="106" customFormat="1">
      <c r="A57" s="68">
        <v>1660</v>
      </c>
      <c r="B57" s="7" t="s">
        <v>153</v>
      </c>
      <c r="C57" s="2"/>
      <c r="D57" s="6" t="s">
        <v>80</v>
      </c>
      <c r="E57" s="128" t="s">
        <v>131</v>
      </c>
      <c r="F57" s="2" t="s">
        <v>187</v>
      </c>
      <c r="G57" s="2" t="s">
        <v>188</v>
      </c>
      <c r="H57" s="4" t="s">
        <v>199</v>
      </c>
      <c r="I57" s="66" t="s">
        <v>56</v>
      </c>
      <c r="J57" s="68" t="s">
        <v>174</v>
      </c>
      <c r="K57" s="2"/>
      <c r="L57" s="162" t="s">
        <v>51</v>
      </c>
      <c r="M57" s="162" t="s">
        <v>51</v>
      </c>
      <c r="N57" s="162" t="s">
        <v>51</v>
      </c>
      <c r="O57" s="7" t="s">
        <v>20</v>
      </c>
      <c r="P57" s="7">
        <v>96</v>
      </c>
      <c r="Q57" s="66" t="s">
        <v>89</v>
      </c>
      <c r="R57" s="66" t="s">
        <v>48</v>
      </c>
      <c r="S57" s="4"/>
      <c r="T57" s="82">
        <v>3.7</v>
      </c>
      <c r="U57" s="4" t="s">
        <v>90</v>
      </c>
      <c r="V57" s="66">
        <f>VLOOKUP(U57,Tables!M$5:O$8,3,FALSE)</f>
        <v>1000</v>
      </c>
      <c r="W57" s="66">
        <f t="shared" si="9"/>
        <v>3700</v>
      </c>
      <c r="X57" s="66"/>
      <c r="Y57" s="71" t="str">
        <f>O57</f>
        <v>LC50</v>
      </c>
      <c r="Z57" s="71">
        <f>VLOOKUP(Y57,Tables!C$5:D$19,2,FALSE)</f>
        <v>5</v>
      </c>
      <c r="AA57" s="72">
        <f>W57/Z57</f>
        <v>740</v>
      </c>
      <c r="AB57" s="73" t="str">
        <f>R57</f>
        <v>Acute</v>
      </c>
      <c r="AC57" s="71">
        <f>VLOOKUP(AB57,Tables!C$22:D$23,2,FALSE)</f>
        <v>2</v>
      </c>
      <c r="AD57" s="74">
        <f>AA57/AC57</f>
        <v>370</v>
      </c>
      <c r="AE57" s="117" t="s">
        <v>239</v>
      </c>
      <c r="AF57" s="131" t="str">
        <f>E57</f>
        <v>Lepomis macrochirus</v>
      </c>
      <c r="AG57" s="83" t="str">
        <f>O57</f>
        <v>LC50</v>
      </c>
      <c r="AH57" s="83" t="str">
        <f>R57</f>
        <v>Acute</v>
      </c>
      <c r="AI57" s="83"/>
      <c r="AJ57" s="71">
        <f>VLOOKUP(SUM(Z57,AC57),Tables!J$5:K$10,2,FALSE)</f>
        <v>4</v>
      </c>
      <c r="AK57" s="63" t="str">
        <f>IF(AJ57=MIN($AJ$55:$AJ$58),"YES!!!","Reject")</f>
        <v>YES!!!</v>
      </c>
      <c r="AL57" s="77" t="str">
        <f>N57</f>
        <v>Mortality</v>
      </c>
      <c r="AM57" s="68" t="s">
        <v>105</v>
      </c>
      <c r="AN57" s="66" t="str">
        <f>CONCATENATE(P57," ",Q57)</f>
        <v>96 Hour</v>
      </c>
      <c r="AO57" s="68" t="s">
        <v>106</v>
      </c>
      <c r="AP57" s="2"/>
      <c r="AQ57" s="74">
        <f>AD57</f>
        <v>370</v>
      </c>
      <c r="AR57" s="6"/>
      <c r="AS57" s="6"/>
      <c r="AT57" s="6"/>
      <c r="AU57" s="117" t="s">
        <v>239</v>
      </c>
      <c r="AV57" s="65"/>
      <c r="AW57" s="65"/>
      <c r="AX57" s="6"/>
      <c r="AY57" s="99"/>
      <c r="AZ57" s="6"/>
      <c r="BA57" s="6"/>
      <c r="BB57" s="6"/>
      <c r="BC57" s="6"/>
      <c r="BD57" s="6"/>
      <c r="BE57" s="67"/>
      <c r="CD57" s="64"/>
    </row>
    <row r="58" spans="1:107" s="106" customFormat="1">
      <c r="A58" s="68">
        <v>1361</v>
      </c>
      <c r="B58" s="7" t="s">
        <v>144</v>
      </c>
      <c r="C58" s="2"/>
      <c r="D58" s="6" t="s">
        <v>80</v>
      </c>
      <c r="E58" s="128" t="s">
        <v>131</v>
      </c>
      <c r="F58" s="2" t="s">
        <v>187</v>
      </c>
      <c r="G58" s="2" t="s">
        <v>188</v>
      </c>
      <c r="H58" s="4" t="s">
        <v>199</v>
      </c>
      <c r="I58" s="4" t="s">
        <v>56</v>
      </c>
      <c r="J58" s="7" t="s">
        <v>127</v>
      </c>
      <c r="K58" s="2"/>
      <c r="L58" s="162" t="s">
        <v>51</v>
      </c>
      <c r="M58" s="162" t="s">
        <v>51</v>
      </c>
      <c r="N58" s="162" t="s">
        <v>51</v>
      </c>
      <c r="O58" s="7" t="s">
        <v>20</v>
      </c>
      <c r="P58" s="7">
        <v>96</v>
      </c>
      <c r="Q58" s="4" t="s">
        <v>89</v>
      </c>
      <c r="R58" s="66" t="s">
        <v>48</v>
      </c>
      <c r="S58" s="4"/>
      <c r="T58" s="82">
        <v>4.0999999999999996</v>
      </c>
      <c r="U58" s="4" t="s">
        <v>90</v>
      </c>
      <c r="V58" s="66">
        <f>VLOOKUP(U58,Tables!M$5:O$8,3,FALSE)</f>
        <v>1000</v>
      </c>
      <c r="W58" s="66">
        <f t="shared" si="9"/>
        <v>4100</v>
      </c>
      <c r="X58" s="66"/>
      <c r="Y58" s="71" t="str">
        <f>O58</f>
        <v>LC50</v>
      </c>
      <c r="Z58" s="71">
        <f>VLOOKUP(Y58,Tables!C$5:D$19,2,FALSE)</f>
        <v>5</v>
      </c>
      <c r="AA58" s="72">
        <f>W58/Z58</f>
        <v>820</v>
      </c>
      <c r="AB58" s="73" t="str">
        <f>R58</f>
        <v>Acute</v>
      </c>
      <c r="AC58" s="71">
        <f>VLOOKUP(AB58,Tables!C$22:D$23,2,FALSE)</f>
        <v>2</v>
      </c>
      <c r="AD58" s="74">
        <f>AA58/AC58</f>
        <v>410</v>
      </c>
      <c r="AE58" s="117" t="s">
        <v>239</v>
      </c>
      <c r="AF58" s="131" t="str">
        <f>E58</f>
        <v>Lepomis macrochirus</v>
      </c>
      <c r="AG58" s="83" t="str">
        <f>O58</f>
        <v>LC50</v>
      </c>
      <c r="AH58" s="83" t="str">
        <f>R58</f>
        <v>Acute</v>
      </c>
      <c r="AI58" s="83"/>
      <c r="AJ58" s="71">
        <f>VLOOKUP(SUM(Z58,AC58),Tables!J$5:K$10,2,FALSE)</f>
        <v>4</v>
      </c>
      <c r="AK58" s="63" t="str">
        <f>IF(AJ58=MIN($AJ$55:$AJ$58),"YES!!!","Reject")</f>
        <v>YES!!!</v>
      </c>
      <c r="AL58" s="77" t="str">
        <f>N58</f>
        <v>Mortality</v>
      </c>
      <c r="AM58" s="68" t="s">
        <v>105</v>
      </c>
      <c r="AN58" s="66" t="str">
        <f>CONCATENATE(P58," ",Q58)</f>
        <v>96 Hour</v>
      </c>
      <c r="AO58" s="68" t="s">
        <v>106</v>
      </c>
      <c r="AP58" s="2"/>
      <c r="AQ58" s="74">
        <f>AD58</f>
        <v>410</v>
      </c>
      <c r="AR58" s="6"/>
      <c r="AS58" s="6"/>
      <c r="AT58" s="6"/>
      <c r="AU58" s="117" t="s">
        <v>239</v>
      </c>
      <c r="AV58" s="65"/>
      <c r="AW58" s="65"/>
      <c r="AX58" s="6"/>
      <c r="AY58" s="99"/>
      <c r="AZ58" s="6"/>
      <c r="BA58" s="6"/>
      <c r="BB58" s="6"/>
      <c r="BC58" s="6"/>
      <c r="BD58" s="6"/>
      <c r="BE58" s="67"/>
      <c r="CD58" s="64"/>
    </row>
    <row r="59" spans="1:107" s="106" customFormat="1" ht="16.5" hidden="1" thickTop="1" thickBot="1">
      <c r="A59" s="40"/>
      <c r="B59" s="40"/>
      <c r="C59" s="34"/>
      <c r="D59" s="34"/>
      <c r="E59" s="168"/>
      <c r="F59" s="34"/>
      <c r="G59" s="34"/>
      <c r="H59" s="40"/>
      <c r="I59" s="40"/>
      <c r="J59" s="40"/>
      <c r="K59" s="34"/>
      <c r="L59" s="163"/>
      <c r="M59" s="163"/>
      <c r="N59" s="163"/>
      <c r="O59" s="40"/>
      <c r="P59" s="40"/>
      <c r="Q59" s="40"/>
      <c r="R59" s="40"/>
      <c r="S59" s="40"/>
      <c r="T59" s="40"/>
      <c r="U59" s="40"/>
      <c r="V59" s="70"/>
      <c r="W59" s="70"/>
      <c r="X59" s="34"/>
      <c r="Y59" s="40"/>
      <c r="Z59" s="40"/>
      <c r="AA59" s="70"/>
      <c r="AB59" s="40"/>
      <c r="AC59" s="40"/>
      <c r="AD59" s="70"/>
      <c r="AE59" s="40"/>
      <c r="AF59" s="100"/>
      <c r="AG59" s="81"/>
      <c r="AH59" s="81"/>
      <c r="AI59" s="34"/>
      <c r="AJ59" s="34"/>
      <c r="AK59" s="34"/>
      <c r="AL59" s="34"/>
      <c r="AM59" s="40"/>
      <c r="AN59" s="40"/>
      <c r="AO59" s="40"/>
      <c r="AP59" s="34"/>
      <c r="AQ59" s="70"/>
      <c r="AR59" s="34"/>
      <c r="AS59" s="34"/>
      <c r="AT59" s="34"/>
      <c r="AU59" s="40"/>
      <c r="AV59" s="50"/>
      <c r="AW59" s="50"/>
      <c r="AX59" s="90"/>
      <c r="AY59" s="100"/>
      <c r="AZ59" s="34"/>
      <c r="BA59" s="34"/>
      <c r="BB59" s="34"/>
      <c r="BC59" s="34"/>
      <c r="BD59" s="34"/>
      <c r="BE59" s="89"/>
      <c r="BF59" s="89"/>
      <c r="BG59" s="50"/>
      <c r="BH59" s="50"/>
      <c r="CD59" s="64"/>
    </row>
    <row r="60" spans="1:107" s="106" customFormat="1" ht="32.25" hidden="1" customHeight="1" thickTop="1" thickBot="1">
      <c r="A60" s="66">
        <v>1657</v>
      </c>
      <c r="B60" s="66" t="s">
        <v>128</v>
      </c>
      <c r="C60" s="159" t="s">
        <v>248</v>
      </c>
      <c r="D60" s="106" t="s">
        <v>112</v>
      </c>
      <c r="E60" s="108" t="s">
        <v>163</v>
      </c>
      <c r="F60" s="106" t="s">
        <v>162</v>
      </c>
      <c r="G60" s="106" t="s">
        <v>189</v>
      </c>
      <c r="H60" s="66" t="s">
        <v>103</v>
      </c>
      <c r="I60" s="66" t="s">
        <v>56</v>
      </c>
      <c r="J60" s="66" t="s">
        <v>164</v>
      </c>
      <c r="L60" s="162" t="s">
        <v>210</v>
      </c>
      <c r="M60" s="162" t="s">
        <v>51</v>
      </c>
      <c r="N60" s="162" t="s">
        <v>51</v>
      </c>
      <c r="O60" s="66" t="s">
        <v>15</v>
      </c>
      <c r="P60" s="66">
        <v>48</v>
      </c>
      <c r="Q60" s="66" t="s">
        <v>89</v>
      </c>
      <c r="R60" s="66" t="s">
        <v>48</v>
      </c>
      <c r="S60" s="138" t="s">
        <v>137</v>
      </c>
      <c r="T60" s="150">
        <v>11</v>
      </c>
      <c r="U60" s="140" t="s">
        <v>90</v>
      </c>
      <c r="V60" s="140">
        <f>VLOOKUP(U60,Tables!M$5:O$8,3,FALSE)</f>
        <v>1000</v>
      </c>
      <c r="W60" s="138">
        <f t="shared" si="9"/>
        <v>11000</v>
      </c>
      <c r="X60" s="139"/>
      <c r="Y60" s="140" t="str">
        <f>O60</f>
        <v>EC50</v>
      </c>
      <c r="Z60" s="140">
        <f>VLOOKUP(Y60,Tables!C$5:D$19,2,FALSE)</f>
        <v>5</v>
      </c>
      <c r="AA60" s="141">
        <f>W60/Z60</f>
        <v>2200</v>
      </c>
      <c r="AB60" s="142" t="str">
        <f>R60</f>
        <v>Acute</v>
      </c>
      <c r="AC60" s="140">
        <f>VLOOKUP(AB60,Tables!C$22:D$23,2,FALSE)</f>
        <v>2</v>
      </c>
      <c r="AD60" s="143">
        <f>AA60/AC60</f>
        <v>1100</v>
      </c>
      <c r="AE60" s="117" t="s">
        <v>239</v>
      </c>
      <c r="AF60" s="144" t="str">
        <f>E60</f>
        <v>Mercenaria mercenaria</v>
      </c>
      <c r="AG60" s="145" t="str">
        <f>O60</f>
        <v>EC50</v>
      </c>
      <c r="AH60" s="145" t="str">
        <f>R60</f>
        <v>Acute</v>
      </c>
      <c r="AI60" s="145"/>
      <c r="AJ60" s="140">
        <f>VLOOKUP(SUM(Z60,AC60),Tables!J$5:K$10,2,FALSE)</f>
        <v>4</v>
      </c>
      <c r="AK60" s="146" t="str">
        <f>IF(AJ60=MIN($AJ$60),"YES!!!","Reject")</f>
        <v>YES!!!</v>
      </c>
      <c r="AL60" s="146" t="str">
        <f>N60</f>
        <v>Mortality</v>
      </c>
      <c r="AM60" s="138" t="s">
        <v>105</v>
      </c>
      <c r="AN60" s="138" t="str">
        <f>CONCATENATE(P60," ",Q60)</f>
        <v>48 Hour</v>
      </c>
      <c r="AO60" s="138" t="s">
        <v>106</v>
      </c>
      <c r="AP60" s="139"/>
      <c r="AQ60" s="143">
        <f>AD60</f>
        <v>1100</v>
      </c>
      <c r="AR60" s="146">
        <f>GEOMEAN(AQ60)</f>
        <v>1100</v>
      </c>
      <c r="AS60" s="146">
        <f>MIN(AR60)</f>
        <v>1100</v>
      </c>
      <c r="AT60" s="146">
        <f>MIN(AS60)</f>
        <v>1100</v>
      </c>
      <c r="AU60" s="117" t="s">
        <v>239</v>
      </c>
      <c r="AV60" s="139"/>
      <c r="AW60" s="139"/>
      <c r="AX60" s="146"/>
      <c r="AY60" s="147"/>
      <c r="AZ60" s="146"/>
      <c r="BA60" s="148"/>
      <c r="BB60" s="148"/>
      <c r="BC60" s="149"/>
      <c r="BD60" s="146"/>
      <c r="BE60" s="117" t="s">
        <v>239</v>
      </c>
      <c r="BF60" s="117" t="s">
        <v>239</v>
      </c>
      <c r="BG60" s="112"/>
      <c r="BH60" s="112"/>
      <c r="CD60" s="64"/>
    </row>
    <row r="61" spans="1:107" s="106" customFormat="1" ht="16.5" hidden="1" thickTop="1" thickBot="1">
      <c r="A61" s="40"/>
      <c r="B61" s="40"/>
      <c r="C61" s="34"/>
      <c r="D61" s="34"/>
      <c r="E61" s="168"/>
      <c r="F61" s="34"/>
      <c r="G61" s="34"/>
      <c r="H61" s="40"/>
      <c r="I61" s="40"/>
      <c r="J61" s="40"/>
      <c r="K61" s="34"/>
      <c r="L61" s="163"/>
      <c r="M61" s="163"/>
      <c r="N61" s="163"/>
      <c r="O61" s="40"/>
      <c r="P61" s="40"/>
      <c r="Q61" s="40"/>
      <c r="R61" s="40"/>
      <c r="S61" s="40"/>
      <c r="T61" s="40"/>
      <c r="U61" s="40"/>
      <c r="V61" s="70"/>
      <c r="W61" s="70"/>
      <c r="X61" s="34"/>
      <c r="Y61" s="40"/>
      <c r="Z61" s="40"/>
      <c r="AA61" s="70"/>
      <c r="AB61" s="40"/>
      <c r="AC61" s="40"/>
      <c r="AD61" s="70"/>
      <c r="AE61" s="40"/>
      <c r="AF61" s="100"/>
      <c r="AG61" s="81"/>
      <c r="AH61" s="81"/>
      <c r="AI61" s="34"/>
      <c r="AJ61" s="34"/>
      <c r="AK61" s="34"/>
      <c r="AL61" s="34"/>
      <c r="AM61" s="40"/>
      <c r="AN61" s="40"/>
      <c r="AO61" s="40"/>
      <c r="AP61" s="34"/>
      <c r="AQ61" s="70"/>
      <c r="AR61" s="34"/>
      <c r="AS61" s="34"/>
      <c r="AT61" s="34"/>
      <c r="AU61" s="40"/>
      <c r="AV61" s="50"/>
      <c r="AW61" s="50"/>
      <c r="AX61" s="90"/>
      <c r="AY61" s="100"/>
      <c r="AZ61" s="34"/>
      <c r="BA61" s="34"/>
      <c r="BB61" s="34"/>
      <c r="BC61" s="34"/>
      <c r="BD61" s="34"/>
      <c r="BE61" s="89"/>
      <c r="BF61" s="89"/>
      <c r="BG61" s="50"/>
      <c r="BH61" s="50"/>
      <c r="CD61" s="64"/>
    </row>
    <row r="62" spans="1:107" s="106" customFormat="1" hidden="1">
      <c r="A62" s="68">
        <v>1640</v>
      </c>
      <c r="B62" s="7" t="s">
        <v>138</v>
      </c>
      <c r="C62" s="2"/>
      <c r="D62" s="6" t="s">
        <v>112</v>
      </c>
      <c r="E62" s="128" t="s">
        <v>145</v>
      </c>
      <c r="F62" s="2" t="s">
        <v>190</v>
      </c>
      <c r="G62" s="2" t="s">
        <v>191</v>
      </c>
      <c r="H62" s="4" t="s">
        <v>17</v>
      </c>
      <c r="I62" s="68" t="s">
        <v>18</v>
      </c>
      <c r="J62" s="7" t="s">
        <v>174</v>
      </c>
      <c r="K62" s="2"/>
      <c r="L62" s="162" t="s">
        <v>205</v>
      </c>
      <c r="M62" s="162" t="s">
        <v>205</v>
      </c>
      <c r="N62" s="162" t="s">
        <v>205</v>
      </c>
      <c r="O62" s="7" t="s">
        <v>15</v>
      </c>
      <c r="P62" s="7">
        <v>72</v>
      </c>
      <c r="Q62" s="4" t="s">
        <v>89</v>
      </c>
      <c r="R62" s="66" t="s">
        <v>16</v>
      </c>
      <c r="S62" s="4"/>
      <c r="T62" s="82">
        <v>14</v>
      </c>
      <c r="U62" s="4" t="s">
        <v>87</v>
      </c>
      <c r="V62" s="66">
        <f>VLOOKUP(U62,Tables!M$5:O$8,3,FALSE)</f>
        <v>1</v>
      </c>
      <c r="W62" s="66">
        <f t="shared" si="9"/>
        <v>14</v>
      </c>
      <c r="X62" s="6"/>
      <c r="Y62" s="71" t="str">
        <f>O62</f>
        <v>EC50</v>
      </c>
      <c r="Z62" s="71">
        <f>VLOOKUP(Y62,Tables!C$5:D$19,2,FALSE)</f>
        <v>5</v>
      </c>
      <c r="AA62" s="72">
        <f>W62/Z62</f>
        <v>2.8</v>
      </c>
      <c r="AB62" s="73" t="str">
        <f>R62</f>
        <v>Chronic</v>
      </c>
      <c r="AC62" s="71">
        <f>VLOOKUP(AB62,Tables!C$22:D$23,2,FALSE)</f>
        <v>1</v>
      </c>
      <c r="AD62" s="74">
        <f>AA62/AC62</f>
        <v>2.8</v>
      </c>
      <c r="AE62" s="117" t="s">
        <v>239</v>
      </c>
      <c r="AF62" s="131" t="str">
        <f>E62</f>
        <v>Monochrysis lutheri</v>
      </c>
      <c r="AG62" s="83" t="str">
        <f>O62</f>
        <v>EC50</v>
      </c>
      <c r="AH62" s="83" t="str">
        <f>R62</f>
        <v>Chronic</v>
      </c>
      <c r="AI62" s="83"/>
      <c r="AJ62" s="71">
        <f>VLOOKUP(SUM(Z62,AC62),Tables!J$5:K$10,2,FALSE)</f>
        <v>2</v>
      </c>
      <c r="AK62" s="63" t="str">
        <f>IF(AJ62=MIN($AJ$62),"YES!!!","Reject")</f>
        <v>YES!!!</v>
      </c>
      <c r="AL62" s="77" t="str">
        <f>N62</f>
        <v>Biomass yield, growth rate, area under the growth curve</v>
      </c>
      <c r="AM62" s="68" t="s">
        <v>105</v>
      </c>
      <c r="AN62" s="66" t="str">
        <f>CONCATENATE(P62," ",Q62)</f>
        <v>72 Hour</v>
      </c>
      <c r="AO62" s="68" t="s">
        <v>106</v>
      </c>
      <c r="AP62" s="2"/>
      <c r="AQ62" s="74">
        <f>AD62</f>
        <v>2.8</v>
      </c>
      <c r="AR62" s="77">
        <f>GEOMEAN(AQ62)</f>
        <v>2.8</v>
      </c>
      <c r="AS62" s="77">
        <f>MIN(AR62)</f>
        <v>2.8</v>
      </c>
      <c r="AT62" s="77">
        <f>MIN(AS62)</f>
        <v>2.8</v>
      </c>
      <c r="AU62" s="117" t="s">
        <v>239</v>
      </c>
      <c r="AV62" s="65"/>
      <c r="AW62" s="65"/>
      <c r="AX62" s="77" t="str">
        <f>H62</f>
        <v>Microalgae</v>
      </c>
      <c r="AY62" s="102" t="str">
        <f>E62</f>
        <v>Monochrysis lutheri</v>
      </c>
      <c r="AZ62" s="77" t="str">
        <f>F62</f>
        <v>Ochrophyta</v>
      </c>
      <c r="BA62" s="97" t="str">
        <f>G62</f>
        <v>Chrysophyceae</v>
      </c>
      <c r="BB62" s="97" t="str">
        <f>I62</f>
        <v>Phototroph</v>
      </c>
      <c r="BC62" s="86">
        <f>AJ62</f>
        <v>2</v>
      </c>
      <c r="BD62" s="77">
        <f>AT62</f>
        <v>2.8</v>
      </c>
      <c r="BE62" s="117" t="s">
        <v>239</v>
      </c>
      <c r="BF62" s="117" t="s">
        <v>239</v>
      </c>
      <c r="BG62" s="112"/>
      <c r="BH62" s="112"/>
      <c r="BJ62" s="50"/>
      <c r="BO62" s="50"/>
      <c r="BP62" s="50"/>
      <c r="CD62" s="64"/>
    </row>
    <row r="63" spans="1:107" s="106" customFormat="1" ht="16.5" hidden="1" thickTop="1" thickBot="1">
      <c r="A63" s="40"/>
      <c r="B63" s="40"/>
      <c r="C63" s="34"/>
      <c r="D63" s="34"/>
      <c r="E63" s="168"/>
      <c r="F63" s="34"/>
      <c r="G63" s="34"/>
      <c r="H63" s="40"/>
      <c r="I63" s="40"/>
      <c r="J63" s="40"/>
      <c r="K63" s="34"/>
      <c r="L63" s="163"/>
      <c r="M63" s="163"/>
      <c r="N63" s="163"/>
      <c r="O63" s="40"/>
      <c r="P63" s="40"/>
      <c r="Q63" s="40"/>
      <c r="R63" s="40"/>
      <c r="S63" s="40"/>
      <c r="T63" s="40"/>
      <c r="U63" s="40"/>
      <c r="V63" s="70"/>
      <c r="W63" s="70"/>
      <c r="X63" s="34"/>
      <c r="Y63" s="40"/>
      <c r="Z63" s="40"/>
      <c r="AA63" s="70"/>
      <c r="AB63" s="40"/>
      <c r="AC63" s="40"/>
      <c r="AD63" s="70"/>
      <c r="AE63" s="40"/>
      <c r="AF63" s="100"/>
      <c r="AG63" s="81"/>
      <c r="AH63" s="81"/>
      <c r="AI63" s="34"/>
      <c r="AJ63" s="34"/>
      <c r="AK63" s="34"/>
      <c r="AL63" s="34"/>
      <c r="AM63" s="40"/>
      <c r="AN63" s="40"/>
      <c r="AO63" s="40"/>
      <c r="AP63" s="34"/>
      <c r="AQ63" s="70"/>
      <c r="AR63" s="34"/>
      <c r="AS63" s="34"/>
      <c r="AT63" s="34"/>
      <c r="AU63" s="40"/>
      <c r="AV63" s="50"/>
      <c r="AW63" s="50"/>
      <c r="AX63" s="90"/>
      <c r="AY63" s="100"/>
      <c r="AZ63" s="34"/>
      <c r="BA63" s="34"/>
      <c r="BB63" s="34"/>
      <c r="BC63" s="34"/>
      <c r="BD63" s="34"/>
      <c r="BE63" s="89"/>
      <c r="BF63" s="89"/>
      <c r="BG63" s="50"/>
      <c r="BH63" s="50"/>
      <c r="BO63" s="87"/>
      <c r="BP63" s="87"/>
      <c r="BR63" s="65"/>
      <c r="CD63" s="64"/>
    </row>
    <row r="64" spans="1:107" s="106" customFormat="1" hidden="1">
      <c r="A64" s="68">
        <v>1644</v>
      </c>
      <c r="B64" s="7" t="s">
        <v>138</v>
      </c>
      <c r="C64" s="2"/>
      <c r="D64" s="67" t="s">
        <v>112</v>
      </c>
      <c r="E64" s="128" t="s">
        <v>149</v>
      </c>
      <c r="F64" s="2" t="s">
        <v>185</v>
      </c>
      <c r="G64" s="2" t="s">
        <v>186</v>
      </c>
      <c r="H64" s="4" t="s">
        <v>17</v>
      </c>
      <c r="I64" s="68" t="s">
        <v>18</v>
      </c>
      <c r="J64" s="7" t="s">
        <v>174</v>
      </c>
      <c r="K64" s="2"/>
      <c r="L64" s="162" t="s">
        <v>205</v>
      </c>
      <c r="M64" s="162" t="s">
        <v>205</v>
      </c>
      <c r="N64" s="162" t="s">
        <v>205</v>
      </c>
      <c r="O64" s="7" t="s">
        <v>15</v>
      </c>
      <c r="P64" s="7">
        <v>72</v>
      </c>
      <c r="Q64" s="4" t="s">
        <v>89</v>
      </c>
      <c r="R64" s="66" t="s">
        <v>16</v>
      </c>
      <c r="S64" s="4"/>
      <c r="T64" s="82">
        <v>97</v>
      </c>
      <c r="U64" s="4" t="s">
        <v>87</v>
      </c>
      <c r="V64" s="66">
        <f>VLOOKUP(U64,Tables!M$5:O$8,3,FALSE)</f>
        <v>1</v>
      </c>
      <c r="W64" s="66">
        <f t="shared" si="9"/>
        <v>97</v>
      </c>
      <c r="X64" s="6"/>
      <c r="Y64" s="71" t="str">
        <f>O64</f>
        <v>EC50</v>
      </c>
      <c r="Z64" s="71">
        <f>VLOOKUP(Y64,Tables!C$5:D$19,2,FALSE)</f>
        <v>5</v>
      </c>
      <c r="AA64" s="72">
        <f>W64/Z64</f>
        <v>19.399999999999999</v>
      </c>
      <c r="AB64" s="73" t="str">
        <f>R64</f>
        <v>Chronic</v>
      </c>
      <c r="AC64" s="71">
        <f>VLOOKUP(AB64,Tables!C$22:D$23,2,FALSE)</f>
        <v>1</v>
      </c>
      <c r="AD64" s="74">
        <f>AA64/AC64</f>
        <v>19.399999999999999</v>
      </c>
      <c r="AE64" s="117" t="s">
        <v>239</v>
      </c>
      <c r="AF64" s="131" t="str">
        <f>E64</f>
        <v>Navicula incerta</v>
      </c>
      <c r="AG64" s="83" t="str">
        <f>O64</f>
        <v>EC50</v>
      </c>
      <c r="AH64" s="83" t="str">
        <f>R64</f>
        <v>Chronic</v>
      </c>
      <c r="AI64" s="83"/>
      <c r="AJ64" s="71">
        <f>VLOOKUP(SUM(Z64,AC64),Tables!J$5:K$10,2,FALSE)</f>
        <v>2</v>
      </c>
      <c r="AK64" s="63" t="str">
        <f>IF(AJ64=MIN($AJ$64),"YES!!!","Reject")</f>
        <v>YES!!!</v>
      </c>
      <c r="AL64" s="77" t="str">
        <f>N64</f>
        <v>Biomass yield, growth rate, area under the growth curve</v>
      </c>
      <c r="AM64" s="68" t="s">
        <v>105</v>
      </c>
      <c r="AN64" s="66" t="str">
        <f>CONCATENATE(P64," ",Q64)</f>
        <v>72 Hour</v>
      </c>
      <c r="AO64" s="68" t="s">
        <v>106</v>
      </c>
      <c r="AP64" s="2"/>
      <c r="AQ64" s="74">
        <f>AD64</f>
        <v>19.399999999999999</v>
      </c>
      <c r="AR64" s="77">
        <f>GEOMEAN(AQ64)</f>
        <v>19.399999999999999</v>
      </c>
      <c r="AS64" s="77">
        <f>MIN(AR64)</f>
        <v>19.399999999999999</v>
      </c>
      <c r="AT64" s="77">
        <f>MIN(AS64)</f>
        <v>19.399999999999999</v>
      </c>
      <c r="AU64" s="117" t="s">
        <v>239</v>
      </c>
      <c r="AV64" s="65"/>
      <c r="AW64" s="65"/>
      <c r="AX64" s="77" t="str">
        <f>H64</f>
        <v>Microalgae</v>
      </c>
      <c r="AY64" s="102" t="str">
        <f>E64</f>
        <v>Navicula incerta</v>
      </c>
      <c r="AZ64" s="77" t="str">
        <f>F64</f>
        <v>Bacillariophyta</v>
      </c>
      <c r="BA64" s="97" t="str">
        <f>G64</f>
        <v>Bacillariophyceae</v>
      </c>
      <c r="BB64" s="97" t="str">
        <f>I64</f>
        <v>Phototroph</v>
      </c>
      <c r="BC64" s="86">
        <f>AJ64</f>
        <v>2</v>
      </c>
      <c r="BD64" s="77">
        <f>AT64</f>
        <v>19.399999999999999</v>
      </c>
      <c r="BE64" s="117" t="s">
        <v>239</v>
      </c>
      <c r="BF64" s="117" t="s">
        <v>239</v>
      </c>
      <c r="BG64" s="112"/>
      <c r="BH64" s="112"/>
      <c r="BJ64" s="87"/>
      <c r="BR64" s="2"/>
      <c r="CD64" s="64"/>
    </row>
    <row r="65" spans="1:107" s="106" customFormat="1" ht="16.5" hidden="1" thickTop="1" thickBot="1">
      <c r="A65" s="40"/>
      <c r="B65" s="40"/>
      <c r="C65" s="34"/>
      <c r="D65" s="34"/>
      <c r="E65" s="168"/>
      <c r="F65" s="34"/>
      <c r="G65" s="34"/>
      <c r="H65" s="40"/>
      <c r="I65" s="40"/>
      <c r="J65" s="40"/>
      <c r="K65" s="34"/>
      <c r="L65" s="163"/>
      <c r="M65" s="163"/>
      <c r="N65" s="163"/>
      <c r="O65" s="40"/>
      <c r="P65" s="40"/>
      <c r="Q65" s="40"/>
      <c r="R65" s="40"/>
      <c r="S65" s="40"/>
      <c r="T65" s="40"/>
      <c r="U65" s="40"/>
      <c r="V65" s="70"/>
      <c r="W65" s="70"/>
      <c r="X65" s="34"/>
      <c r="Y65" s="40"/>
      <c r="Z65" s="40"/>
      <c r="AA65" s="70"/>
      <c r="AB65" s="40"/>
      <c r="AC65" s="40"/>
      <c r="AD65" s="70"/>
      <c r="AE65" s="40"/>
      <c r="AF65" s="100"/>
      <c r="AG65" s="81"/>
      <c r="AH65" s="81"/>
      <c r="AI65" s="34"/>
      <c r="AJ65" s="34"/>
      <c r="AK65" s="34"/>
      <c r="AL65" s="34"/>
      <c r="AM65" s="40"/>
      <c r="AN65" s="40"/>
      <c r="AO65" s="40"/>
      <c r="AP65" s="34"/>
      <c r="AQ65" s="70"/>
      <c r="AR65" s="34"/>
      <c r="AS65" s="34"/>
      <c r="AT65" s="34"/>
      <c r="AU65" s="40"/>
      <c r="AV65" s="50"/>
      <c r="AW65" s="50"/>
      <c r="AX65" s="90"/>
      <c r="AY65" s="100"/>
      <c r="AZ65" s="34"/>
      <c r="BA65" s="34"/>
      <c r="BB65" s="34"/>
      <c r="BC65" s="34"/>
      <c r="BD65" s="34"/>
      <c r="BE65" s="89"/>
      <c r="BF65" s="89"/>
      <c r="BG65" s="50"/>
      <c r="BH65" s="50"/>
      <c r="BO65" s="50"/>
      <c r="BP65" s="50"/>
      <c r="BQ65" s="119"/>
      <c r="BR65" s="65"/>
      <c r="CD65" s="64"/>
    </row>
    <row r="66" spans="1:107" s="65" customFormat="1">
      <c r="A66" s="68">
        <v>1648</v>
      </c>
      <c r="B66" s="116">
        <v>2049116</v>
      </c>
      <c r="C66" s="118"/>
      <c r="D66" s="120" t="s">
        <v>80</v>
      </c>
      <c r="E66" s="170" t="s">
        <v>154</v>
      </c>
      <c r="F66" s="106" t="s">
        <v>81</v>
      </c>
      <c r="G66" s="120" t="s">
        <v>180</v>
      </c>
      <c r="H66" s="66" t="s">
        <v>17</v>
      </c>
      <c r="I66" s="68" t="s">
        <v>18</v>
      </c>
      <c r="J66" s="68" t="s">
        <v>174</v>
      </c>
      <c r="K66" s="118"/>
      <c r="L66" s="162" t="s">
        <v>205</v>
      </c>
      <c r="M66" s="162" t="s">
        <v>205</v>
      </c>
      <c r="N66" s="162" t="s">
        <v>205</v>
      </c>
      <c r="O66" s="121" t="s">
        <v>15</v>
      </c>
      <c r="P66" s="68">
        <v>72</v>
      </c>
      <c r="Q66" s="66" t="s">
        <v>89</v>
      </c>
      <c r="R66" s="66" t="s">
        <v>16</v>
      </c>
      <c r="S66" s="116"/>
      <c r="T66" s="116">
        <v>36</v>
      </c>
      <c r="U66" s="66" t="s">
        <v>87</v>
      </c>
      <c r="V66" s="66">
        <f>VLOOKUP(U66,Tables!M$5:O$8,3,FALSE)</f>
        <v>1</v>
      </c>
      <c r="W66" s="66">
        <f>T66*V66</f>
        <v>36</v>
      </c>
      <c r="X66" s="67"/>
      <c r="Y66" s="71" t="str">
        <f>O66</f>
        <v>EC50</v>
      </c>
      <c r="Z66" s="71">
        <f>VLOOKUP(Y66,Tables!C$5:D$19,2,FALSE)</f>
        <v>5</v>
      </c>
      <c r="AA66" s="72">
        <f>W66/Z66</f>
        <v>7.2</v>
      </c>
      <c r="AB66" s="73" t="str">
        <f>R66</f>
        <v>Chronic</v>
      </c>
      <c r="AC66" s="71">
        <f>VLOOKUP(AB66,Tables!C$22:D$23,2,FALSE)</f>
        <v>1</v>
      </c>
      <c r="AD66" s="74">
        <f>AA66/AC66</f>
        <v>7.2</v>
      </c>
      <c r="AE66" s="117" t="s">
        <v>239</v>
      </c>
      <c r="AF66" s="131" t="str">
        <f>E66</f>
        <v>Neochloris sp.</v>
      </c>
      <c r="AG66" s="83" t="str">
        <f>O66</f>
        <v>EC50</v>
      </c>
      <c r="AH66" s="83" t="str">
        <f>R66</f>
        <v>Chronic</v>
      </c>
      <c r="AI66" s="83"/>
      <c r="AJ66" s="71">
        <f>VLOOKUP(SUM(Z66,AC66),Tables!J$5:K$10,2,FALSE)</f>
        <v>2</v>
      </c>
      <c r="AK66" s="63" t="str">
        <f>IF(AJ66=MIN($AJ$66),"YES!!!","Reject")</f>
        <v>YES!!!</v>
      </c>
      <c r="AL66" s="77" t="str">
        <f>N66</f>
        <v>Biomass yield, growth rate, area under the growth curve</v>
      </c>
      <c r="AM66" s="68" t="s">
        <v>105</v>
      </c>
      <c r="AN66" s="66" t="str">
        <f>CONCATENATE(P66," ",Q66)</f>
        <v>72 Hour</v>
      </c>
      <c r="AO66" s="68" t="s">
        <v>106</v>
      </c>
      <c r="AP66" s="106"/>
      <c r="AQ66" s="74">
        <f>AD66</f>
        <v>7.2</v>
      </c>
      <c r="AR66" s="77">
        <f>GEOMEAN(AQ66)</f>
        <v>7.2</v>
      </c>
      <c r="AS66" s="77">
        <f>MIN(AR66)</f>
        <v>7.2</v>
      </c>
      <c r="AT66" s="77">
        <f>MIN(AS66)</f>
        <v>7.2</v>
      </c>
      <c r="AU66" s="117" t="s">
        <v>239</v>
      </c>
      <c r="AV66" s="118"/>
      <c r="AW66" s="118"/>
      <c r="AX66" s="77" t="str">
        <f>H66</f>
        <v>Microalgae</v>
      </c>
      <c r="AY66" s="102" t="str">
        <f>E66</f>
        <v>Neochloris sp.</v>
      </c>
      <c r="AZ66" s="77" t="str">
        <f>F66</f>
        <v>Chlorophyta</v>
      </c>
      <c r="BA66" s="97" t="str">
        <f>G66</f>
        <v>Chlorophyceae</v>
      </c>
      <c r="BB66" s="97" t="str">
        <f>I66</f>
        <v>Phototroph</v>
      </c>
      <c r="BC66" s="86">
        <f>AJ66</f>
        <v>2</v>
      </c>
      <c r="BD66" s="77">
        <f>AT66</f>
        <v>7.2</v>
      </c>
      <c r="BE66" s="117" t="s">
        <v>239</v>
      </c>
      <c r="BF66" s="117" t="s">
        <v>239</v>
      </c>
      <c r="BG66" s="112"/>
      <c r="BH66" s="112"/>
      <c r="BI66" s="67"/>
      <c r="BJ66" s="106"/>
      <c r="BK66" s="106"/>
      <c r="BL66" s="106"/>
      <c r="BM66" s="106"/>
      <c r="BN66" s="106"/>
      <c r="BO66" s="50"/>
      <c r="BP66" s="50"/>
      <c r="BQ66" s="106"/>
      <c r="BR66" s="2"/>
      <c r="BS66" s="106"/>
      <c r="BT66" s="106"/>
      <c r="CD66"/>
    </row>
    <row r="67" spans="1:107" s="2" customFormat="1" ht="16.5" hidden="1" thickTop="1" thickBot="1">
      <c r="A67" s="40"/>
      <c r="B67" s="40"/>
      <c r="C67" s="34"/>
      <c r="D67" s="34"/>
      <c r="E67" s="168"/>
      <c r="F67" s="34"/>
      <c r="G67" s="34"/>
      <c r="H67" s="40"/>
      <c r="I67" s="40"/>
      <c r="J67" s="40"/>
      <c r="K67" s="34"/>
      <c r="L67" s="163"/>
      <c r="M67" s="163"/>
      <c r="N67" s="163"/>
      <c r="O67" s="40"/>
      <c r="P67" s="40"/>
      <c r="Q67" s="40"/>
      <c r="R67" s="40"/>
      <c r="S67" s="40"/>
      <c r="T67" s="40"/>
      <c r="U67" s="40"/>
      <c r="V67" s="70"/>
      <c r="W67" s="70"/>
      <c r="X67" s="34"/>
      <c r="Y67" s="40"/>
      <c r="Z67" s="40"/>
      <c r="AA67" s="70"/>
      <c r="AB67" s="40"/>
      <c r="AC67" s="40"/>
      <c r="AD67" s="70"/>
      <c r="AE67" s="40"/>
      <c r="AF67" s="100"/>
      <c r="AG67" s="81"/>
      <c r="AH67" s="81"/>
      <c r="AI67" s="34"/>
      <c r="AJ67" s="34"/>
      <c r="AK67" s="34"/>
      <c r="AL67" s="34"/>
      <c r="AM67" s="40"/>
      <c r="AN67" s="40"/>
      <c r="AO67" s="40"/>
      <c r="AP67" s="34"/>
      <c r="AQ67" s="70"/>
      <c r="AR67" s="34"/>
      <c r="AS67" s="34"/>
      <c r="AT67" s="34"/>
      <c r="AU67" s="40"/>
      <c r="AV67" s="50"/>
      <c r="AW67" s="50"/>
      <c r="AX67" s="90"/>
      <c r="AY67" s="100"/>
      <c r="AZ67" s="34"/>
      <c r="BA67" s="34"/>
      <c r="BB67" s="34"/>
      <c r="BC67" s="34"/>
      <c r="BD67" s="34"/>
      <c r="BE67" s="89"/>
      <c r="BF67" s="89"/>
      <c r="BG67" s="50"/>
      <c r="BH67" s="50"/>
      <c r="BI67" s="119"/>
      <c r="BJ67" s="106"/>
      <c r="BK67" s="106"/>
      <c r="BL67" s="106"/>
      <c r="BM67" s="106"/>
      <c r="BN67" s="106"/>
      <c r="BO67" s="50"/>
      <c r="BP67" s="50"/>
      <c r="BQ67" s="106"/>
      <c r="BR67" s="106"/>
      <c r="BS67" s="106"/>
      <c r="BT67" s="106"/>
      <c r="CD67"/>
    </row>
    <row r="68" spans="1:107" s="65" customFormat="1" hidden="1">
      <c r="A68" s="68">
        <v>1646</v>
      </c>
      <c r="B68" s="7" t="s">
        <v>138</v>
      </c>
      <c r="C68" s="2"/>
      <c r="D68" s="67" t="s">
        <v>112</v>
      </c>
      <c r="E68" s="128" t="s">
        <v>152</v>
      </c>
      <c r="F68" s="2" t="s">
        <v>185</v>
      </c>
      <c r="G68" s="2" t="s">
        <v>186</v>
      </c>
      <c r="H68" s="4" t="s">
        <v>17</v>
      </c>
      <c r="I68" s="68" t="s">
        <v>18</v>
      </c>
      <c r="J68" s="7" t="s">
        <v>174</v>
      </c>
      <c r="K68" s="2"/>
      <c r="L68" s="162" t="s">
        <v>205</v>
      </c>
      <c r="M68" s="162" t="s">
        <v>205</v>
      </c>
      <c r="N68" s="162" t="s">
        <v>205</v>
      </c>
      <c r="O68" s="7" t="s">
        <v>15</v>
      </c>
      <c r="P68" s="7">
        <v>72</v>
      </c>
      <c r="Q68" s="4" t="s">
        <v>89</v>
      </c>
      <c r="R68" s="66" t="s">
        <v>16</v>
      </c>
      <c r="S68" s="4"/>
      <c r="T68" s="82">
        <v>62</v>
      </c>
      <c r="U68" s="4" t="s">
        <v>87</v>
      </c>
      <c r="V68" s="66">
        <f>VLOOKUP(U68,Tables!M$5:O$8,3,FALSE)</f>
        <v>1</v>
      </c>
      <c r="W68" s="66">
        <f t="shared" si="9"/>
        <v>62</v>
      </c>
      <c r="X68" s="6"/>
      <c r="Y68" s="71" t="str">
        <f>O68</f>
        <v>EC50</v>
      </c>
      <c r="Z68" s="71">
        <f>VLOOKUP(Y68,Tables!C$5:D$19,2,FALSE)</f>
        <v>5</v>
      </c>
      <c r="AA68" s="72">
        <f>W68/Z68</f>
        <v>12.4</v>
      </c>
      <c r="AB68" s="73" t="str">
        <f>R68</f>
        <v>Chronic</v>
      </c>
      <c r="AC68" s="71">
        <f>VLOOKUP(AB68,Tables!C$22:D$23,2,FALSE)</f>
        <v>1</v>
      </c>
      <c r="AD68" s="74">
        <f>AA68/AC68</f>
        <v>12.4</v>
      </c>
      <c r="AE68" s="117" t="s">
        <v>239</v>
      </c>
      <c r="AF68" s="131" t="str">
        <f>E68</f>
        <v>Nitzschia closterium</v>
      </c>
      <c r="AG68" s="83" t="str">
        <f>O68</f>
        <v>EC50</v>
      </c>
      <c r="AH68" s="83" t="str">
        <f>R68</f>
        <v>Chronic</v>
      </c>
      <c r="AI68" s="83"/>
      <c r="AJ68" s="71">
        <f>VLOOKUP(SUM(Z68,AC68),Tables!J$5:K$10,2,FALSE)</f>
        <v>2</v>
      </c>
      <c r="AK68" s="63" t="str">
        <f>IF(AJ68=MIN($AJ$68),"YES!!!","Reject")</f>
        <v>YES!!!</v>
      </c>
      <c r="AL68" s="77" t="str">
        <f>N68</f>
        <v>Biomass yield, growth rate, area under the growth curve</v>
      </c>
      <c r="AM68" s="68" t="s">
        <v>105</v>
      </c>
      <c r="AN68" s="66" t="str">
        <f>CONCATENATE(P68," ",Q68)</f>
        <v>72 Hour</v>
      </c>
      <c r="AO68" s="68" t="s">
        <v>106</v>
      </c>
      <c r="AP68" s="2"/>
      <c r="AQ68" s="74">
        <f>AD68</f>
        <v>12.4</v>
      </c>
      <c r="AR68" s="77">
        <f>GEOMEAN(AQ68)</f>
        <v>12.4</v>
      </c>
      <c r="AS68" s="77">
        <f>MIN(AR68)</f>
        <v>12.4</v>
      </c>
      <c r="AT68" s="77">
        <f>MIN(AS68)</f>
        <v>12.4</v>
      </c>
      <c r="AU68" s="117" t="s">
        <v>239</v>
      </c>
      <c r="AX68" s="77" t="str">
        <f>H68</f>
        <v>Microalgae</v>
      </c>
      <c r="AY68" s="102" t="str">
        <f>E68</f>
        <v>Nitzschia closterium</v>
      </c>
      <c r="AZ68" s="77" t="str">
        <f>F68</f>
        <v>Bacillariophyta</v>
      </c>
      <c r="BA68" s="97" t="str">
        <f>G68</f>
        <v>Bacillariophyceae</v>
      </c>
      <c r="BB68" s="97" t="str">
        <f>I68</f>
        <v>Phototroph</v>
      </c>
      <c r="BC68" s="86">
        <f>AJ68</f>
        <v>2</v>
      </c>
      <c r="BD68" s="77">
        <f>AT68</f>
        <v>12.4</v>
      </c>
      <c r="BE68" s="117" t="s">
        <v>239</v>
      </c>
      <c r="BF68" s="117" t="s">
        <v>239</v>
      </c>
      <c r="BG68" s="112"/>
      <c r="BH68" s="112"/>
      <c r="BI68" s="67"/>
      <c r="BJ68" s="50"/>
      <c r="BK68" s="106"/>
      <c r="BL68" s="106"/>
      <c r="BM68" s="106"/>
      <c r="BN68" s="106"/>
      <c r="BO68" s="105"/>
      <c r="BP68" s="105"/>
      <c r="BQ68" s="106"/>
      <c r="BR68" s="119"/>
      <c r="BS68" s="106"/>
      <c r="BT68" s="106"/>
      <c r="CD68"/>
    </row>
    <row r="69" spans="1:107" s="2" customFormat="1" ht="16.5" hidden="1" thickTop="1" thickBot="1">
      <c r="A69" s="40"/>
      <c r="B69" s="40"/>
      <c r="C69" s="34"/>
      <c r="D69" s="34"/>
      <c r="E69" s="168"/>
      <c r="F69" s="34"/>
      <c r="G69" s="34"/>
      <c r="H69" s="40"/>
      <c r="I69" s="40"/>
      <c r="J69" s="40"/>
      <c r="K69" s="34"/>
      <c r="L69" s="163"/>
      <c r="M69" s="163"/>
      <c r="N69" s="163"/>
      <c r="O69" s="40"/>
      <c r="P69" s="40"/>
      <c r="Q69" s="40"/>
      <c r="R69" s="40"/>
      <c r="S69" s="40"/>
      <c r="T69" s="40"/>
      <c r="U69" s="40"/>
      <c r="V69" s="70"/>
      <c r="W69" s="70"/>
      <c r="X69" s="34"/>
      <c r="Y69" s="40"/>
      <c r="Z69" s="40"/>
      <c r="AA69" s="70"/>
      <c r="AB69" s="40"/>
      <c r="AC69" s="40"/>
      <c r="AD69" s="70"/>
      <c r="AE69" s="40"/>
      <c r="AF69" s="100"/>
      <c r="AG69" s="81"/>
      <c r="AH69" s="81"/>
      <c r="AI69" s="34"/>
      <c r="AJ69" s="34"/>
      <c r="AK69" s="34"/>
      <c r="AL69" s="34"/>
      <c r="AM69" s="40"/>
      <c r="AN69" s="40"/>
      <c r="AO69" s="40"/>
      <c r="AP69" s="34"/>
      <c r="AQ69" s="70"/>
      <c r="AR69" s="34"/>
      <c r="AS69" s="34"/>
      <c r="AT69" s="34"/>
      <c r="AU69" s="40"/>
      <c r="AV69" s="50"/>
      <c r="AW69" s="50"/>
      <c r="AX69" s="90"/>
      <c r="AY69" s="100"/>
      <c r="AZ69" s="34"/>
      <c r="BA69" s="34"/>
      <c r="BB69" s="34"/>
      <c r="BC69" s="34"/>
      <c r="BD69" s="34"/>
      <c r="BE69" s="89"/>
      <c r="BF69" s="89"/>
      <c r="BG69" s="50"/>
      <c r="BH69" s="50"/>
      <c r="BI69" s="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CD69"/>
    </row>
    <row r="70" spans="1:107" s="106" customFormat="1">
      <c r="A70" s="68">
        <v>9043</v>
      </c>
      <c r="B70" s="7" t="s">
        <v>170</v>
      </c>
      <c r="C70" s="2"/>
      <c r="D70" s="65" t="s">
        <v>80</v>
      </c>
      <c r="E70" s="128" t="s">
        <v>133</v>
      </c>
      <c r="F70" s="2" t="s">
        <v>187</v>
      </c>
      <c r="G70" s="2" t="s">
        <v>188</v>
      </c>
      <c r="H70" s="4" t="s">
        <v>199</v>
      </c>
      <c r="I70" s="66" t="s">
        <v>56</v>
      </c>
      <c r="J70" s="7" t="s">
        <v>174</v>
      </c>
      <c r="K70" s="2"/>
      <c r="L70" s="162" t="s">
        <v>51</v>
      </c>
      <c r="M70" s="162" t="s">
        <v>51</v>
      </c>
      <c r="N70" s="162" t="s">
        <v>51</v>
      </c>
      <c r="O70" s="7" t="s">
        <v>20</v>
      </c>
      <c r="P70" s="7">
        <v>96</v>
      </c>
      <c r="Q70" s="4" t="s">
        <v>89</v>
      </c>
      <c r="R70" s="66" t="s">
        <v>48</v>
      </c>
      <c r="S70" s="4"/>
      <c r="T70" s="82">
        <v>3.2</v>
      </c>
      <c r="U70" s="4" t="s">
        <v>90</v>
      </c>
      <c r="V70" s="66">
        <f>VLOOKUP(U70,Tables!M$5:O$8,3,FALSE)</f>
        <v>1000</v>
      </c>
      <c r="W70" s="66">
        <f t="shared" si="9"/>
        <v>3200</v>
      </c>
      <c r="X70" s="6"/>
      <c r="Y70" s="71" t="str">
        <f>O70</f>
        <v>LC50</v>
      </c>
      <c r="Z70" s="71">
        <f>VLOOKUP(Y70,Tables!C$5:D$19,2,FALSE)</f>
        <v>5</v>
      </c>
      <c r="AA70" s="72">
        <f>W70/Z70</f>
        <v>640</v>
      </c>
      <c r="AB70" s="73" t="str">
        <f>R70</f>
        <v>Acute</v>
      </c>
      <c r="AC70" s="71">
        <f>VLOOKUP(AB70,Tables!C$22:D$23,2,FALSE)</f>
        <v>2</v>
      </c>
      <c r="AD70" s="74">
        <f>AA70/AC70</f>
        <v>320</v>
      </c>
      <c r="AE70" s="117" t="s">
        <v>239</v>
      </c>
      <c r="AF70" s="131" t="str">
        <f>E70</f>
        <v>Oncorhynchus mykiss</v>
      </c>
      <c r="AG70" s="83" t="str">
        <f>O70</f>
        <v>LC50</v>
      </c>
      <c r="AH70" s="83" t="str">
        <f>R70</f>
        <v>Acute</v>
      </c>
      <c r="AI70" s="83"/>
      <c r="AJ70" s="71">
        <f>VLOOKUP(SUM(Z70,AC70),Tables!J$5:K$10,2,FALSE)</f>
        <v>4</v>
      </c>
      <c r="AK70" s="63" t="str">
        <f>IF(AJ70=MIN($AJ$70:$AJ$74),"YES!!!","Reject")</f>
        <v>YES!!!</v>
      </c>
      <c r="AL70" s="77" t="str">
        <f>N70</f>
        <v>Mortality</v>
      </c>
      <c r="AM70" s="68" t="s">
        <v>105</v>
      </c>
      <c r="AN70" s="66" t="str">
        <f>CONCATENATE(P70," ",Q70)</f>
        <v>96 Hour</v>
      </c>
      <c r="AO70" s="68" t="s">
        <v>106</v>
      </c>
      <c r="AP70" s="2"/>
      <c r="AQ70" s="74">
        <f>AD70</f>
        <v>320</v>
      </c>
      <c r="AR70" s="77">
        <f>GEOMEAN(AQ70,AQ74)</f>
        <v>339.41125496954282</v>
      </c>
      <c r="AS70" s="77">
        <f>MIN(AR70:AR72)</f>
        <v>339.41125496954282</v>
      </c>
      <c r="AT70" s="77">
        <f>MIN(AS70)</f>
        <v>339.41125496954282</v>
      </c>
      <c r="AU70" s="117" t="s">
        <v>239</v>
      </c>
      <c r="AV70" s="65"/>
      <c r="AW70" s="65"/>
      <c r="AX70" s="77" t="str">
        <f>H70</f>
        <v>Fish</v>
      </c>
      <c r="AY70" s="102" t="str">
        <f>E70</f>
        <v>Oncorhynchus mykiss</v>
      </c>
      <c r="AZ70" s="77" t="str">
        <f>F70</f>
        <v>Chordata</v>
      </c>
      <c r="BA70" s="97" t="str">
        <f>G70</f>
        <v>Actinopterygii</v>
      </c>
      <c r="BB70" s="97" t="str">
        <f>I70</f>
        <v>Heterotroph</v>
      </c>
      <c r="BC70" s="86">
        <f>AJ70</f>
        <v>4</v>
      </c>
      <c r="BD70" s="77">
        <f>AT70</f>
        <v>339.41125496954282</v>
      </c>
      <c r="BE70" s="117" t="s">
        <v>239</v>
      </c>
      <c r="BF70" s="117" t="s">
        <v>239</v>
      </c>
      <c r="BG70" s="112"/>
      <c r="BH70" s="112"/>
      <c r="BI70" s="67"/>
      <c r="BJ70" s="50"/>
      <c r="BO70" s="50"/>
      <c r="BP70" s="50"/>
      <c r="BR70" s="6"/>
      <c r="BS70" s="119"/>
      <c r="CD70"/>
    </row>
    <row r="71" spans="1:107" s="119" customFormat="1">
      <c r="A71" s="68">
        <v>9043</v>
      </c>
      <c r="B71" s="7" t="s">
        <v>170</v>
      </c>
      <c r="C71" s="2"/>
      <c r="D71" s="65" t="s">
        <v>80</v>
      </c>
      <c r="E71" s="128" t="s">
        <v>133</v>
      </c>
      <c r="F71" s="2" t="s">
        <v>187</v>
      </c>
      <c r="G71" s="2" t="s">
        <v>188</v>
      </c>
      <c r="H71" s="4" t="s">
        <v>199</v>
      </c>
      <c r="I71" s="66" t="s">
        <v>56</v>
      </c>
      <c r="J71" s="7" t="s">
        <v>174</v>
      </c>
      <c r="K71" s="2"/>
      <c r="L71" s="162" t="s">
        <v>51</v>
      </c>
      <c r="M71" s="162" t="s">
        <v>51</v>
      </c>
      <c r="N71" s="162" t="s">
        <v>51</v>
      </c>
      <c r="O71" s="7" t="s">
        <v>109</v>
      </c>
      <c r="P71" s="7">
        <v>96</v>
      </c>
      <c r="Q71" s="4" t="s">
        <v>89</v>
      </c>
      <c r="R71" s="66" t="s">
        <v>48</v>
      </c>
      <c r="S71" s="4"/>
      <c r="T71" s="82">
        <v>0.7</v>
      </c>
      <c r="U71" s="4" t="s">
        <v>90</v>
      </c>
      <c r="V71" s="66">
        <f>VLOOKUP(U71,Tables!M$5:O$8,3,FALSE)</f>
        <v>1000</v>
      </c>
      <c r="W71" s="66">
        <f t="shared" si="9"/>
        <v>700</v>
      </c>
      <c r="X71" s="6"/>
      <c r="Y71" s="71" t="str">
        <f>O71</f>
        <v>NOEL</v>
      </c>
      <c r="Z71" s="71">
        <f>VLOOKUP(Y71,Tables!C$5:D$19,2,FALSE)</f>
        <v>1</v>
      </c>
      <c r="AA71" s="72">
        <f>W71/Z71</f>
        <v>700</v>
      </c>
      <c r="AB71" s="73" t="str">
        <f>R71</f>
        <v>Acute</v>
      </c>
      <c r="AC71" s="71">
        <f>VLOOKUP(AB71,Tables!C$22:D$23,2,FALSE)</f>
        <v>2</v>
      </c>
      <c r="AD71" s="74">
        <f>AA71/AC71</f>
        <v>350</v>
      </c>
      <c r="AE71" s="117" t="s">
        <v>239</v>
      </c>
      <c r="AF71" s="131" t="str">
        <f>E71</f>
        <v>Oncorhynchus mykiss</v>
      </c>
      <c r="AG71" s="83" t="str">
        <f>O71</f>
        <v>NOEL</v>
      </c>
      <c r="AH71" s="83" t="str">
        <f>R71</f>
        <v>Acute</v>
      </c>
      <c r="AI71" s="83"/>
      <c r="AJ71" s="71" t="str">
        <f>VLOOKUP(SUM(Z71,AC71),Tables!J$5:K$10,2,FALSE)</f>
        <v>Do Not Use</v>
      </c>
      <c r="AK71" s="63" t="str">
        <f>IF(AJ71=MIN($AJ$70:$AJ$74),"YES!!!","Reject")</f>
        <v>Reject</v>
      </c>
      <c r="AL71" s="77"/>
      <c r="AM71" s="68"/>
      <c r="AN71" s="66"/>
      <c r="AO71" s="68"/>
      <c r="AP71" s="2"/>
      <c r="AQ71" s="74"/>
      <c r="AR71" s="77"/>
      <c r="AS71" s="77"/>
      <c r="AT71" s="77"/>
      <c r="AU71" s="117" t="s">
        <v>239</v>
      </c>
      <c r="AV71" s="65"/>
      <c r="AW71" s="65"/>
      <c r="AX71" s="77"/>
      <c r="AY71" s="102"/>
      <c r="AZ71" s="77"/>
      <c r="BA71" s="85"/>
      <c r="BB71" s="85"/>
      <c r="BC71" s="86"/>
      <c r="BD71" s="77"/>
      <c r="BE71" s="67"/>
      <c r="BF71" s="106"/>
      <c r="BG71" s="106"/>
      <c r="BH71" s="106"/>
      <c r="BI71" s="6"/>
      <c r="BJ71" s="106"/>
      <c r="BK71" s="106"/>
      <c r="BL71" s="106"/>
      <c r="BM71" s="106"/>
      <c r="BN71" s="106"/>
      <c r="BO71" s="50"/>
      <c r="BP71" s="50"/>
      <c r="BQ71" s="106"/>
      <c r="BR71" s="67"/>
      <c r="BS71" s="106"/>
    </row>
    <row r="72" spans="1:107" s="106" customFormat="1">
      <c r="A72" s="68">
        <v>1665</v>
      </c>
      <c r="B72" s="7" t="s">
        <v>132</v>
      </c>
      <c r="C72" s="2"/>
      <c r="D72" s="65" t="s">
        <v>80</v>
      </c>
      <c r="E72" s="128" t="s">
        <v>133</v>
      </c>
      <c r="F72" s="2" t="s">
        <v>187</v>
      </c>
      <c r="G72" s="2" t="s">
        <v>188</v>
      </c>
      <c r="H72" s="4" t="s">
        <v>199</v>
      </c>
      <c r="I72" s="66" t="s">
        <v>56</v>
      </c>
      <c r="J72" s="7" t="s">
        <v>174</v>
      </c>
      <c r="K72" s="2"/>
      <c r="L72" s="162" t="s">
        <v>51</v>
      </c>
      <c r="M72" s="162" t="s">
        <v>51</v>
      </c>
      <c r="N72" s="162" t="s">
        <v>51</v>
      </c>
      <c r="O72" s="7" t="s">
        <v>20</v>
      </c>
      <c r="P72" s="7">
        <v>48</v>
      </c>
      <c r="Q72" s="4" t="s">
        <v>89</v>
      </c>
      <c r="R72" s="66" t="s">
        <v>48</v>
      </c>
      <c r="S72" s="4"/>
      <c r="T72" s="82">
        <v>5.0999999999999996</v>
      </c>
      <c r="U72" s="4" t="s">
        <v>90</v>
      </c>
      <c r="V72" s="66">
        <f>VLOOKUP(U72,Tables!M$5:O$8,3,FALSE)</f>
        <v>1000</v>
      </c>
      <c r="W72" s="66">
        <f t="shared" si="9"/>
        <v>5100</v>
      </c>
      <c r="X72" s="6"/>
      <c r="Y72" s="71" t="str">
        <f>O72</f>
        <v>LC50</v>
      </c>
      <c r="Z72" s="71">
        <f>VLOOKUP(Y72,Tables!C$5:D$19,2,FALSE)</f>
        <v>5</v>
      </c>
      <c r="AA72" s="72">
        <f>W72/Z72</f>
        <v>1020</v>
      </c>
      <c r="AB72" s="73" t="str">
        <f>R72</f>
        <v>Acute</v>
      </c>
      <c r="AC72" s="71">
        <f>VLOOKUP(AB72,Tables!C$22:D$23,2,FALSE)</f>
        <v>2</v>
      </c>
      <c r="AD72" s="74">
        <f>AA72/AC72</f>
        <v>510</v>
      </c>
      <c r="AE72" s="117" t="s">
        <v>239</v>
      </c>
      <c r="AF72" s="131" t="str">
        <f>E72</f>
        <v>Oncorhynchus mykiss</v>
      </c>
      <c r="AG72" s="83" t="str">
        <f>O72</f>
        <v>LC50</v>
      </c>
      <c r="AH72" s="83" t="str">
        <f>R72</f>
        <v>Acute</v>
      </c>
      <c r="AI72" s="83"/>
      <c r="AJ72" s="71">
        <f>VLOOKUP(SUM(Z72,AC72),Tables!J$5:K$10,2,FALSE)</f>
        <v>4</v>
      </c>
      <c r="AK72" s="63" t="str">
        <f>IF(AJ72=MIN($AJ$70:$AJ$74),"YES!!!","Reject")</f>
        <v>YES!!!</v>
      </c>
      <c r="AL72" s="77" t="str">
        <f>N72</f>
        <v>Mortality</v>
      </c>
      <c r="AM72" s="68" t="s">
        <v>105</v>
      </c>
      <c r="AN72" s="66" t="str">
        <f>CONCATENATE(P72," ",Q72)</f>
        <v>48 Hour</v>
      </c>
      <c r="AO72" s="68" t="s">
        <v>213</v>
      </c>
      <c r="AP72" s="2"/>
      <c r="AQ72" s="74">
        <f>AD72</f>
        <v>510</v>
      </c>
      <c r="AR72" s="77">
        <f>GEOMEAN(AQ72)</f>
        <v>510</v>
      </c>
      <c r="AS72" s="6"/>
      <c r="AT72" s="6"/>
      <c r="AU72" s="117" t="s">
        <v>239</v>
      </c>
      <c r="AV72" s="65"/>
      <c r="AW72" s="65"/>
      <c r="AX72" s="6"/>
      <c r="AY72" s="99"/>
      <c r="AZ72" s="6"/>
      <c r="BA72" s="6"/>
      <c r="BB72" s="6"/>
      <c r="BC72" s="6"/>
      <c r="BD72" s="6"/>
      <c r="BE72" s="67"/>
      <c r="BI72" s="6"/>
      <c r="BR72" s="6"/>
      <c r="BS72" s="67"/>
      <c r="CD72"/>
    </row>
    <row r="73" spans="1:107" s="2" customFormat="1" ht="30">
      <c r="A73" s="68">
        <v>1665</v>
      </c>
      <c r="B73" s="7" t="s">
        <v>132</v>
      </c>
      <c r="C73" s="159" t="s">
        <v>249</v>
      </c>
      <c r="D73" s="65" t="s">
        <v>80</v>
      </c>
      <c r="E73" s="128" t="s">
        <v>133</v>
      </c>
      <c r="F73" s="2" t="s">
        <v>187</v>
      </c>
      <c r="G73" s="2" t="s">
        <v>188</v>
      </c>
      <c r="H73" s="4" t="s">
        <v>199</v>
      </c>
      <c r="I73" s="4" t="s">
        <v>56</v>
      </c>
      <c r="J73" s="7" t="s">
        <v>174</v>
      </c>
      <c r="L73" s="162" t="s">
        <v>51</v>
      </c>
      <c r="M73" s="162" t="s">
        <v>51</v>
      </c>
      <c r="N73" s="162" t="s">
        <v>51</v>
      </c>
      <c r="O73" s="7" t="s">
        <v>229</v>
      </c>
      <c r="P73" s="7">
        <v>48</v>
      </c>
      <c r="Q73" s="4" t="s">
        <v>89</v>
      </c>
      <c r="R73" s="66" t="s">
        <v>48</v>
      </c>
      <c r="S73" s="4" t="s">
        <v>134</v>
      </c>
      <c r="T73" s="82">
        <v>2.5</v>
      </c>
      <c r="U73" s="4" t="s">
        <v>90</v>
      </c>
      <c r="V73" s="66">
        <f>VLOOKUP(U73,Tables!M$5:O$8,3,FALSE)</f>
        <v>1000</v>
      </c>
      <c r="W73" s="66">
        <f t="shared" si="9"/>
        <v>2500</v>
      </c>
      <c r="X73" s="6"/>
      <c r="Y73" s="71" t="str">
        <f>O73</f>
        <v>LOEL</v>
      </c>
      <c r="Z73" s="71">
        <f>VLOOKUP(Y73,Tables!C$5:D$19,2,FALSE)</f>
        <v>2.5</v>
      </c>
      <c r="AA73" s="72">
        <f>W73/Z73</f>
        <v>1000</v>
      </c>
      <c r="AB73" s="73" t="str">
        <f>R73</f>
        <v>Acute</v>
      </c>
      <c r="AC73" s="71">
        <f>VLOOKUP(AB73,Tables!C$22:D$23,2,FALSE)</f>
        <v>2</v>
      </c>
      <c r="AD73" s="74">
        <f>AA73/AC73</f>
        <v>500</v>
      </c>
      <c r="AE73" s="117" t="s">
        <v>239</v>
      </c>
      <c r="AF73" s="131" t="str">
        <f>E73</f>
        <v>Oncorhynchus mykiss</v>
      </c>
      <c r="AG73" s="83" t="str">
        <f>O73</f>
        <v>LOEL</v>
      </c>
      <c r="AH73" s="83" t="str">
        <f>R73</f>
        <v>Acute</v>
      </c>
      <c r="AI73" s="83"/>
      <c r="AJ73" s="71" t="str">
        <f>VLOOKUP(SUM(Z73,AC73),Tables!J$5:K$10,2,FALSE)</f>
        <v>Do Not Use</v>
      </c>
      <c r="AK73" s="63" t="str">
        <f>IF(AJ73=MIN($AJ$70:$AJ$74),"YES!!!","Reject")</f>
        <v>Reject</v>
      </c>
      <c r="AL73" s="77"/>
      <c r="AM73" s="68"/>
      <c r="AN73" s="66"/>
      <c r="AO73" s="68"/>
      <c r="AQ73" s="74"/>
      <c r="AR73" s="77"/>
      <c r="AS73" s="6"/>
      <c r="AT73" s="6"/>
      <c r="AU73" s="117" t="s">
        <v>239</v>
      </c>
      <c r="AV73" s="65"/>
      <c r="AW73" s="65"/>
      <c r="AX73" s="6"/>
      <c r="AY73" s="99"/>
      <c r="AZ73" s="6"/>
      <c r="BA73" s="6"/>
      <c r="BB73" s="6"/>
      <c r="BC73" s="6"/>
      <c r="BD73" s="6"/>
      <c r="BE73" s="67"/>
      <c r="BF73" s="106"/>
      <c r="BG73" s="106"/>
      <c r="BH73" s="106"/>
      <c r="BI73" s="67"/>
      <c r="BJ73" s="106"/>
      <c r="BK73" s="106"/>
      <c r="BL73" s="106"/>
      <c r="BM73" s="106"/>
      <c r="BN73" s="106"/>
      <c r="BO73" s="50"/>
      <c r="BP73" s="50"/>
      <c r="BQ73" s="106"/>
      <c r="BS73" s="67"/>
      <c r="BT73" s="67"/>
      <c r="BU73" s="6"/>
      <c r="BV73" s="6"/>
      <c r="BW73" s="6"/>
      <c r="BX73" s="6"/>
      <c r="BY73" s="6"/>
      <c r="BZ73" s="6"/>
      <c r="CA73" s="6"/>
      <c r="CB73" s="6"/>
      <c r="CC73" s="6"/>
      <c r="CD73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</row>
    <row r="74" spans="1:107" s="65" customFormat="1">
      <c r="A74" s="68">
        <v>1360</v>
      </c>
      <c r="B74" s="7" t="s">
        <v>143</v>
      </c>
      <c r="C74" s="2"/>
      <c r="D74" s="65" t="s">
        <v>80</v>
      </c>
      <c r="E74" s="128" t="s">
        <v>133</v>
      </c>
      <c r="F74" s="2" t="s">
        <v>187</v>
      </c>
      <c r="G74" s="2" t="s">
        <v>188</v>
      </c>
      <c r="H74" s="4" t="s">
        <v>199</v>
      </c>
      <c r="I74" s="4" t="s">
        <v>56</v>
      </c>
      <c r="J74" s="7" t="s">
        <v>174</v>
      </c>
      <c r="K74" s="2"/>
      <c r="L74" s="162" t="s">
        <v>51</v>
      </c>
      <c r="M74" s="162" t="s">
        <v>51</v>
      </c>
      <c r="N74" s="162" t="s">
        <v>51</v>
      </c>
      <c r="O74" s="7" t="s">
        <v>20</v>
      </c>
      <c r="P74" s="7">
        <v>96</v>
      </c>
      <c r="Q74" s="4" t="s">
        <v>89</v>
      </c>
      <c r="R74" s="66" t="s">
        <v>48</v>
      </c>
      <c r="S74" s="4"/>
      <c r="T74" s="82">
        <v>3.6</v>
      </c>
      <c r="U74" s="4" t="s">
        <v>90</v>
      </c>
      <c r="V74" s="66">
        <f>VLOOKUP(U74,Tables!M$5:O$8,3,FALSE)</f>
        <v>1000</v>
      </c>
      <c r="W74" s="66">
        <f t="shared" si="9"/>
        <v>3600</v>
      </c>
      <c r="X74" s="6"/>
      <c r="Y74" s="71" t="str">
        <f>O74</f>
        <v>LC50</v>
      </c>
      <c r="Z74" s="71">
        <f>VLOOKUP(Y74,Tables!C$5:D$19,2,FALSE)</f>
        <v>5</v>
      </c>
      <c r="AA74" s="72">
        <f>W74/Z74</f>
        <v>720</v>
      </c>
      <c r="AB74" s="73" t="str">
        <f>R74</f>
        <v>Acute</v>
      </c>
      <c r="AC74" s="71">
        <f>VLOOKUP(AB74,Tables!C$22:D$23,2,FALSE)</f>
        <v>2</v>
      </c>
      <c r="AD74" s="74">
        <f>AA74/AC74</f>
        <v>360</v>
      </c>
      <c r="AE74" s="117" t="s">
        <v>239</v>
      </c>
      <c r="AF74" s="131" t="str">
        <f>E74</f>
        <v>Oncorhynchus mykiss</v>
      </c>
      <c r="AG74" s="83" t="str">
        <f>O74</f>
        <v>LC50</v>
      </c>
      <c r="AH74" s="83" t="str">
        <f>R74</f>
        <v>Acute</v>
      </c>
      <c r="AI74" s="83"/>
      <c r="AJ74" s="71">
        <f>VLOOKUP(SUM(Z74,AC74),Tables!J$5:K$10,2,FALSE)</f>
        <v>4</v>
      </c>
      <c r="AK74" s="63" t="str">
        <f>IF(AJ74=MIN($AJ$70:$AJ$74),"YES!!!","Reject")</f>
        <v>YES!!!</v>
      </c>
      <c r="AL74" s="77" t="str">
        <f>N74</f>
        <v>Mortality</v>
      </c>
      <c r="AM74" s="68" t="s">
        <v>105</v>
      </c>
      <c r="AN74" s="66" t="str">
        <f>CONCATENATE(P74," ",Q74)</f>
        <v>96 Hour</v>
      </c>
      <c r="AO74" s="68" t="s">
        <v>106</v>
      </c>
      <c r="AP74" s="2"/>
      <c r="AQ74" s="74">
        <f>AD74</f>
        <v>360</v>
      </c>
      <c r="AR74" s="6"/>
      <c r="AS74" s="6"/>
      <c r="AT74" s="6"/>
      <c r="AU74" s="117" t="s">
        <v>239</v>
      </c>
      <c r="AX74" s="6"/>
      <c r="AY74" s="99"/>
      <c r="AZ74" s="6"/>
      <c r="BA74" s="6"/>
      <c r="BB74" s="6"/>
      <c r="BC74" s="6"/>
      <c r="BD74" s="6"/>
      <c r="BE74" s="67"/>
      <c r="BF74" s="106"/>
      <c r="BG74" s="106"/>
      <c r="BH74" s="106"/>
      <c r="BI74" s="6"/>
      <c r="BJ74" s="106"/>
      <c r="BK74" s="106"/>
      <c r="BL74" s="106"/>
      <c r="BM74" s="106"/>
      <c r="BN74" s="106"/>
      <c r="BO74" s="113"/>
      <c r="BP74" s="113"/>
      <c r="BQ74" s="106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</row>
    <row r="75" spans="1:107" s="2" customFormat="1" ht="16.5" hidden="1" thickTop="1" thickBot="1">
      <c r="A75" s="40"/>
      <c r="B75" s="40"/>
      <c r="C75" s="34"/>
      <c r="D75" s="34"/>
      <c r="E75" s="168"/>
      <c r="F75" s="34"/>
      <c r="G75" s="34"/>
      <c r="H75" s="40"/>
      <c r="I75" s="40"/>
      <c r="J75" s="40"/>
      <c r="K75" s="34"/>
      <c r="L75" s="163"/>
      <c r="M75" s="163"/>
      <c r="N75" s="163"/>
      <c r="O75" s="40"/>
      <c r="P75" s="40"/>
      <c r="Q75" s="40"/>
      <c r="R75" s="40"/>
      <c r="S75" s="40"/>
      <c r="T75" s="40"/>
      <c r="U75" s="40"/>
      <c r="V75" s="70"/>
      <c r="W75" s="70"/>
      <c r="X75" s="34"/>
      <c r="Y75" s="40"/>
      <c r="Z75" s="40"/>
      <c r="AA75" s="70"/>
      <c r="AB75" s="40"/>
      <c r="AC75" s="40"/>
      <c r="AD75" s="70"/>
      <c r="AE75" s="40"/>
      <c r="AF75" s="100"/>
      <c r="AG75" s="81"/>
      <c r="AH75" s="81"/>
      <c r="AI75" s="34"/>
      <c r="AJ75" s="34"/>
      <c r="AK75" s="34"/>
      <c r="AL75" s="34"/>
      <c r="AM75" s="40"/>
      <c r="AN75" s="40"/>
      <c r="AO75" s="40"/>
      <c r="AP75" s="34"/>
      <c r="AQ75" s="70"/>
      <c r="AR75" s="34"/>
      <c r="AS75" s="34"/>
      <c r="AT75" s="34"/>
      <c r="AU75" s="40"/>
      <c r="AV75" s="50"/>
      <c r="AW75" s="50"/>
      <c r="AX75" s="90"/>
      <c r="AY75" s="100"/>
      <c r="AZ75" s="34"/>
      <c r="BA75" s="34"/>
      <c r="BB75" s="34"/>
      <c r="BC75" s="34"/>
      <c r="BD75" s="34"/>
      <c r="BE75" s="89"/>
      <c r="BF75" s="89"/>
      <c r="BG75" s="50"/>
      <c r="BH75" s="50"/>
      <c r="BI75" s="67"/>
      <c r="BJ75" s="50"/>
      <c r="BK75" s="106"/>
      <c r="BL75" s="106"/>
      <c r="BM75" s="106"/>
      <c r="BN75" s="106"/>
      <c r="BO75" s="50"/>
      <c r="BP75" s="50"/>
      <c r="BQ75" s="106"/>
      <c r="BS75" s="106"/>
      <c r="BT75" s="67"/>
      <c r="BU75" s="6"/>
      <c r="BV75" s="6"/>
      <c r="BW75" s="6"/>
      <c r="BX75" s="6"/>
      <c r="BY75" s="6"/>
      <c r="BZ75" s="6"/>
      <c r="CA75" s="6"/>
      <c r="CB75" s="6"/>
      <c r="CC75" s="6"/>
      <c r="CD75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</row>
    <row r="76" spans="1:107" s="2" customFormat="1" hidden="1">
      <c r="A76" s="68">
        <v>1652</v>
      </c>
      <c r="B76" s="7" t="s">
        <v>138</v>
      </c>
      <c r="D76" s="67" t="s">
        <v>112</v>
      </c>
      <c r="E76" s="128" t="s">
        <v>140</v>
      </c>
      <c r="F76" s="2" t="s">
        <v>185</v>
      </c>
      <c r="G76" s="2" t="s">
        <v>192</v>
      </c>
      <c r="H76" s="4" t="s">
        <v>17</v>
      </c>
      <c r="I76" s="68" t="s">
        <v>18</v>
      </c>
      <c r="J76" s="7" t="s">
        <v>174</v>
      </c>
      <c r="L76" s="162" t="s">
        <v>205</v>
      </c>
      <c r="M76" s="162" t="s">
        <v>205</v>
      </c>
      <c r="N76" s="162" t="s">
        <v>205</v>
      </c>
      <c r="O76" s="7" t="s">
        <v>15</v>
      </c>
      <c r="P76" s="7">
        <v>10</v>
      </c>
      <c r="Q76" s="68" t="s">
        <v>184</v>
      </c>
      <c r="R76" s="68" t="s">
        <v>16</v>
      </c>
      <c r="S76" s="4"/>
      <c r="T76" s="82">
        <v>20</v>
      </c>
      <c r="U76" s="4" t="s">
        <v>87</v>
      </c>
      <c r="V76" s="66">
        <f>VLOOKUP(U76,Tables!M$5:O$8,3,FALSE)</f>
        <v>1</v>
      </c>
      <c r="W76" s="66">
        <f t="shared" si="9"/>
        <v>20</v>
      </c>
      <c r="X76" s="6"/>
      <c r="Y76" s="71" t="str">
        <f>O76</f>
        <v>EC50</v>
      </c>
      <c r="Z76" s="71">
        <f>VLOOKUP(Y76,Tables!C$5:D$19,2,FALSE)</f>
        <v>5</v>
      </c>
      <c r="AA76" s="72">
        <f>W76/Z76</f>
        <v>4</v>
      </c>
      <c r="AB76" s="73" t="str">
        <f>R76</f>
        <v>Chronic</v>
      </c>
      <c r="AC76" s="71">
        <f>VLOOKUP(AB76,Tables!C$22:D$23,2,FALSE)</f>
        <v>1</v>
      </c>
      <c r="AD76" s="74">
        <f>AA76/AC76</f>
        <v>4</v>
      </c>
      <c r="AE76" s="117" t="s">
        <v>239</v>
      </c>
      <c r="AF76" s="131" t="str">
        <f>E76</f>
        <v>Phaeodactylum tricornutum</v>
      </c>
      <c r="AG76" s="83" t="str">
        <f>O76</f>
        <v>EC50</v>
      </c>
      <c r="AH76" s="83" t="str">
        <f>R76</f>
        <v>Chronic</v>
      </c>
      <c r="AI76" s="83"/>
      <c r="AJ76" s="71">
        <f>VLOOKUP(SUM(Z76,AC76),Tables!J$5:K$10,2,FALSE)</f>
        <v>2</v>
      </c>
      <c r="AK76" s="63" t="str">
        <f>IF(AJ76=MIN($AJ$76:$AJ$77),"YES!!!","Reject")</f>
        <v>YES!!!</v>
      </c>
      <c r="AL76" s="77" t="str">
        <f>N76</f>
        <v>Biomass yield, growth rate, area under the growth curve</v>
      </c>
      <c r="AM76" s="68" t="s">
        <v>105</v>
      </c>
      <c r="AN76" s="66" t="str">
        <f>CONCATENATE(P76," ",Q76)</f>
        <v>10 Day</v>
      </c>
      <c r="AO76" s="68" t="s">
        <v>106</v>
      </c>
      <c r="AQ76" s="74">
        <f>AD76</f>
        <v>4</v>
      </c>
      <c r="AR76" s="77">
        <f>GEOMEAN(AQ76:AQ77)</f>
        <v>6.324555320336759</v>
      </c>
      <c r="AS76" s="77">
        <f>MIN(AR76)</f>
        <v>6.324555320336759</v>
      </c>
      <c r="AT76" s="77">
        <f>MIN(AS76)</f>
        <v>6.324555320336759</v>
      </c>
      <c r="AU76" s="117" t="s">
        <v>239</v>
      </c>
      <c r="AV76" s="65"/>
      <c r="AW76" s="65"/>
      <c r="AX76" s="77" t="str">
        <f>H76</f>
        <v>Microalgae</v>
      </c>
      <c r="AY76" s="102" t="str">
        <f>E76</f>
        <v>Phaeodactylum tricornutum</v>
      </c>
      <c r="AZ76" s="77" t="str">
        <f>F76</f>
        <v>Bacillariophyta</v>
      </c>
      <c r="BA76" s="97" t="str">
        <f>G76</f>
        <v>Bacillariophyta incertae sedis</v>
      </c>
      <c r="BB76" s="97" t="str">
        <f>I76</f>
        <v>Phototroph</v>
      </c>
      <c r="BC76" s="86">
        <f>AJ76</f>
        <v>2</v>
      </c>
      <c r="BD76" s="77">
        <f>AT76</f>
        <v>6.324555320336759</v>
      </c>
      <c r="BE76" s="117" t="s">
        <v>239</v>
      </c>
      <c r="BF76" s="117" t="s">
        <v>239</v>
      </c>
      <c r="BG76" s="112"/>
      <c r="BH76" s="112"/>
      <c r="BI76" s="6"/>
      <c r="BJ76" s="106"/>
      <c r="BK76" s="106"/>
      <c r="BL76" s="106"/>
      <c r="BM76" s="106"/>
      <c r="BN76" s="106"/>
      <c r="BO76" s="96"/>
      <c r="BP76" s="87"/>
      <c r="BQ76" s="106"/>
      <c r="BR76" s="65"/>
      <c r="BS76" s="106"/>
      <c r="BT76" s="106"/>
      <c r="CD76"/>
    </row>
    <row r="77" spans="1:107" s="65" customFormat="1" hidden="1">
      <c r="A77" s="68">
        <v>1356</v>
      </c>
      <c r="B77" s="7" t="s">
        <v>138</v>
      </c>
      <c r="C77" s="2"/>
      <c r="D77" s="67" t="s">
        <v>112</v>
      </c>
      <c r="E77" s="128" t="s">
        <v>140</v>
      </c>
      <c r="F77" s="2" t="s">
        <v>185</v>
      </c>
      <c r="G77" s="2" t="s">
        <v>192</v>
      </c>
      <c r="H77" s="4" t="s">
        <v>17</v>
      </c>
      <c r="I77" s="68" t="s">
        <v>18</v>
      </c>
      <c r="J77" s="7" t="s">
        <v>174</v>
      </c>
      <c r="K77" s="2"/>
      <c r="L77" s="162" t="s">
        <v>205</v>
      </c>
      <c r="M77" s="162" t="s">
        <v>205</v>
      </c>
      <c r="N77" s="162" t="s">
        <v>205</v>
      </c>
      <c r="O77" s="7" t="s">
        <v>15</v>
      </c>
      <c r="P77" s="7">
        <v>10</v>
      </c>
      <c r="Q77" s="68" t="s">
        <v>184</v>
      </c>
      <c r="R77" s="68" t="s">
        <v>16</v>
      </c>
      <c r="S77" s="4"/>
      <c r="T77" s="82">
        <v>50</v>
      </c>
      <c r="U77" s="4" t="s">
        <v>87</v>
      </c>
      <c r="V77" s="66">
        <f>VLOOKUP(U77,Tables!M$5:O$8,3,FALSE)</f>
        <v>1</v>
      </c>
      <c r="W77" s="66">
        <f t="shared" si="9"/>
        <v>50</v>
      </c>
      <c r="X77" s="6"/>
      <c r="Y77" s="71" t="str">
        <f>O77</f>
        <v>EC50</v>
      </c>
      <c r="Z77" s="71">
        <f>VLOOKUP(Y77,Tables!C$5:D$19,2,FALSE)</f>
        <v>5</v>
      </c>
      <c r="AA77" s="72">
        <f>W77/Z77</f>
        <v>10</v>
      </c>
      <c r="AB77" s="73" t="str">
        <f>R77</f>
        <v>Chronic</v>
      </c>
      <c r="AC77" s="71">
        <f>VLOOKUP(AB77,Tables!C$22:D$23,2,FALSE)</f>
        <v>1</v>
      </c>
      <c r="AD77" s="74">
        <f>AA77/AC77</f>
        <v>10</v>
      </c>
      <c r="AE77" s="117" t="s">
        <v>239</v>
      </c>
      <c r="AF77" s="131" t="str">
        <f>E77</f>
        <v>Phaeodactylum tricornutum</v>
      </c>
      <c r="AG77" s="83" t="str">
        <f>O77</f>
        <v>EC50</v>
      </c>
      <c r="AH77" s="83" t="str">
        <f>R77</f>
        <v>Chronic</v>
      </c>
      <c r="AI77" s="83"/>
      <c r="AJ77" s="71">
        <f>VLOOKUP(SUM(Z77,AC77),Tables!J$5:K$10,2,FALSE)</f>
        <v>2</v>
      </c>
      <c r="AK77" s="63" t="str">
        <f>IF(AJ77=MIN($AJ$76:$AJ$77),"YES!!!","Reject")</f>
        <v>YES!!!</v>
      </c>
      <c r="AL77" s="77" t="str">
        <f>N77</f>
        <v>Biomass yield, growth rate, area under the growth curve</v>
      </c>
      <c r="AM77" s="68" t="s">
        <v>105</v>
      </c>
      <c r="AN77" s="66" t="str">
        <f>CONCATENATE(P77," ",Q77)</f>
        <v>10 Day</v>
      </c>
      <c r="AO77" s="68" t="s">
        <v>106</v>
      </c>
      <c r="AP77" s="2"/>
      <c r="AQ77" s="74">
        <f>AD77</f>
        <v>10</v>
      </c>
      <c r="AR77" s="6"/>
      <c r="AS77" s="6"/>
      <c r="AT77" s="6"/>
      <c r="AU77" s="117" t="s">
        <v>239</v>
      </c>
      <c r="AX77" s="6"/>
      <c r="AY77" s="99"/>
      <c r="AZ77" s="6"/>
      <c r="BA77" s="6"/>
      <c r="BB77" s="6"/>
      <c r="BC77" s="6"/>
      <c r="BD77" s="6"/>
      <c r="BE77" s="67"/>
      <c r="BF77" s="106"/>
      <c r="BG77" s="106"/>
      <c r="BH77" s="106"/>
      <c r="BI77" s="6"/>
      <c r="BJ77" s="106"/>
      <c r="BK77" s="106"/>
      <c r="BL77" s="106"/>
      <c r="BM77" s="106"/>
      <c r="BN77" s="106"/>
      <c r="BO77" s="50"/>
      <c r="BP77" s="50"/>
      <c r="BQ77" s="106"/>
      <c r="BR77" s="2"/>
      <c r="BS77" s="106"/>
      <c r="BT77" s="106"/>
      <c r="CD77"/>
    </row>
    <row r="78" spans="1:107" s="2" customFormat="1" ht="16.5" hidden="1" thickTop="1" thickBot="1">
      <c r="A78" s="40"/>
      <c r="B78" s="40"/>
      <c r="C78" s="34"/>
      <c r="D78" s="34"/>
      <c r="E78" s="168"/>
      <c r="F78" s="34"/>
      <c r="G78" s="34"/>
      <c r="H78" s="40"/>
      <c r="I78" s="40"/>
      <c r="J78" s="40"/>
      <c r="K78" s="34"/>
      <c r="L78" s="163"/>
      <c r="M78" s="163"/>
      <c r="N78" s="163"/>
      <c r="O78" s="40"/>
      <c r="P78" s="40"/>
      <c r="Q78" s="40"/>
      <c r="R78" s="40"/>
      <c r="S78" s="40"/>
      <c r="T78" s="40"/>
      <c r="U78" s="40"/>
      <c r="V78" s="40"/>
      <c r="W78" s="70"/>
      <c r="X78" s="34"/>
      <c r="Y78" s="40"/>
      <c r="Z78" s="40"/>
      <c r="AA78" s="70"/>
      <c r="AB78" s="40"/>
      <c r="AC78" s="40"/>
      <c r="AD78" s="70"/>
      <c r="AE78" s="40"/>
      <c r="AF78" s="100"/>
      <c r="AG78" s="81"/>
      <c r="AH78" s="81"/>
      <c r="AI78" s="34"/>
      <c r="AJ78" s="34"/>
      <c r="AK78" s="34"/>
      <c r="AL78" s="34"/>
      <c r="AM78" s="40"/>
      <c r="AN78" s="40"/>
      <c r="AO78" s="40"/>
      <c r="AP78" s="34"/>
      <c r="AQ78" s="70"/>
      <c r="AR78" s="34"/>
      <c r="AS78" s="34"/>
      <c r="AT78" s="34"/>
      <c r="AU78" s="40"/>
      <c r="AV78" s="50"/>
      <c r="AW78" s="50"/>
      <c r="AX78" s="90"/>
      <c r="AY78" s="100"/>
      <c r="AZ78" s="34"/>
      <c r="BA78" s="34"/>
      <c r="BB78" s="34"/>
      <c r="BC78" s="34"/>
      <c r="BD78" s="34"/>
      <c r="BE78" s="89"/>
      <c r="BF78" s="89"/>
      <c r="BG78" s="50"/>
      <c r="BH78" s="50"/>
      <c r="BI78" s="6"/>
      <c r="BJ78" s="50"/>
      <c r="BK78" s="106"/>
      <c r="BL78" s="106"/>
      <c r="BM78" s="106"/>
      <c r="BN78" s="106"/>
      <c r="BO78" s="106"/>
      <c r="BP78" s="106"/>
      <c r="BQ78" s="106"/>
      <c r="BS78" s="106"/>
      <c r="BT78" s="106"/>
      <c r="CD78"/>
    </row>
    <row r="79" spans="1:107" s="65" customFormat="1">
      <c r="A79" s="68">
        <v>14187</v>
      </c>
      <c r="B79" s="7" t="s">
        <v>169</v>
      </c>
      <c r="C79" s="2"/>
      <c r="D79" s="67" t="s">
        <v>80</v>
      </c>
      <c r="E79" s="128" t="s">
        <v>126</v>
      </c>
      <c r="F79" s="2" t="s">
        <v>187</v>
      </c>
      <c r="G79" s="2" t="s">
        <v>188</v>
      </c>
      <c r="H79" s="4" t="s">
        <v>199</v>
      </c>
      <c r="I79" s="4" t="s">
        <v>56</v>
      </c>
      <c r="J79" s="7" t="s">
        <v>168</v>
      </c>
      <c r="K79" s="2"/>
      <c r="L79" s="162" t="s">
        <v>51</v>
      </c>
      <c r="M79" s="162" t="s">
        <v>51</v>
      </c>
      <c r="N79" s="162" t="s">
        <v>51</v>
      </c>
      <c r="O79" s="7" t="s">
        <v>22</v>
      </c>
      <c r="P79" s="7">
        <v>35</v>
      </c>
      <c r="Q79" s="68" t="s">
        <v>184</v>
      </c>
      <c r="R79" s="68" t="s">
        <v>16</v>
      </c>
      <c r="S79" s="4"/>
      <c r="T79" s="82">
        <v>1.4</v>
      </c>
      <c r="U79" s="4" t="s">
        <v>90</v>
      </c>
      <c r="V79" s="66">
        <f>VLOOKUP(U79,Tables!M$5:O$8,3,FALSE)</f>
        <v>1000</v>
      </c>
      <c r="W79" s="66">
        <f t="shared" si="9"/>
        <v>1400</v>
      </c>
      <c r="X79" s="6"/>
      <c r="Y79" s="71" t="str">
        <f>O79</f>
        <v>LOEC</v>
      </c>
      <c r="Z79" s="71">
        <f>VLOOKUP(Y79,Tables!C$5:D$19,2,FALSE)</f>
        <v>2.5</v>
      </c>
      <c r="AA79" s="72">
        <f>W79/Z79</f>
        <v>560</v>
      </c>
      <c r="AB79" s="73" t="str">
        <f>R79</f>
        <v>Chronic</v>
      </c>
      <c r="AC79" s="71">
        <f>VLOOKUP(AB79,Tables!C$22:D$23,2,FALSE)</f>
        <v>1</v>
      </c>
      <c r="AD79" s="74">
        <f>AA79/AC79</f>
        <v>560</v>
      </c>
      <c r="AE79" s="117" t="s">
        <v>239</v>
      </c>
      <c r="AF79" s="131" t="str">
        <f>E79</f>
        <v>Pimephales promelas</v>
      </c>
      <c r="AG79" s="83" t="str">
        <f>O79</f>
        <v>LOEC</v>
      </c>
      <c r="AH79" s="83" t="str">
        <f>R79</f>
        <v>Chronic</v>
      </c>
      <c r="AI79" s="83"/>
      <c r="AJ79" s="71">
        <f>VLOOKUP(SUM(Z79,AC79),Tables!J$5:K$10,2,FALSE)</f>
        <v>2</v>
      </c>
      <c r="AK79" s="63" t="str">
        <f>IF(AJ79=MIN($AJ$79:$AJ$83),"YES!!!","Reject")</f>
        <v>Reject</v>
      </c>
      <c r="AL79" s="77"/>
      <c r="AM79" s="68"/>
      <c r="AN79" s="68"/>
      <c r="AO79" s="68"/>
      <c r="AP79" s="2"/>
      <c r="AQ79" s="78"/>
      <c r="AR79" s="6"/>
      <c r="AS79" s="6"/>
      <c r="AT79" s="6"/>
      <c r="AU79" s="117" t="s">
        <v>239</v>
      </c>
      <c r="AX79" s="6"/>
      <c r="AY79" s="99"/>
      <c r="AZ79" s="6"/>
      <c r="BA79" s="6"/>
      <c r="BB79" s="6"/>
      <c r="BC79" s="6"/>
      <c r="BD79" s="6"/>
      <c r="BE79" s="67"/>
      <c r="BF79" s="106"/>
      <c r="BG79" s="106"/>
      <c r="BH79" s="106"/>
      <c r="BI79" s="67"/>
      <c r="BJ79" s="50"/>
      <c r="BK79" s="106"/>
      <c r="BL79" s="106"/>
      <c r="BM79" s="106"/>
      <c r="BN79" s="106"/>
      <c r="BO79" s="96"/>
      <c r="BP79" s="87"/>
      <c r="BQ79" s="106"/>
      <c r="BR79" s="6"/>
      <c r="BS79" s="106"/>
      <c r="BT79" s="106"/>
      <c r="CD79"/>
    </row>
    <row r="80" spans="1:107" s="2" customFormat="1">
      <c r="A80" s="68">
        <v>14187</v>
      </c>
      <c r="B80" s="7" t="s">
        <v>169</v>
      </c>
      <c r="D80" s="6" t="s">
        <v>80</v>
      </c>
      <c r="E80" s="128" t="s">
        <v>126</v>
      </c>
      <c r="F80" s="2" t="s">
        <v>187</v>
      </c>
      <c r="G80" s="2" t="s">
        <v>188</v>
      </c>
      <c r="H80" s="4" t="s">
        <v>199</v>
      </c>
      <c r="I80" s="66" t="s">
        <v>56</v>
      </c>
      <c r="J80" s="7" t="s">
        <v>168</v>
      </c>
      <c r="L80" s="162" t="s">
        <v>51</v>
      </c>
      <c r="M80" s="162" t="s">
        <v>51</v>
      </c>
      <c r="N80" s="162" t="s">
        <v>51</v>
      </c>
      <c r="O80" s="7" t="s">
        <v>109</v>
      </c>
      <c r="P80" s="7">
        <v>35</v>
      </c>
      <c r="Q80" s="7" t="s">
        <v>184</v>
      </c>
      <c r="R80" s="68" t="s">
        <v>16</v>
      </c>
      <c r="S80" s="4"/>
      <c r="T80" s="82">
        <v>0.7</v>
      </c>
      <c r="U80" s="4" t="s">
        <v>90</v>
      </c>
      <c r="V80" s="66">
        <f>VLOOKUP(U80,Tables!M$5:O$8,3,FALSE)</f>
        <v>1000</v>
      </c>
      <c r="W80" s="66">
        <f t="shared" si="9"/>
        <v>700</v>
      </c>
      <c r="X80" s="6"/>
      <c r="Y80" s="71" t="str">
        <f>O80</f>
        <v>NOEL</v>
      </c>
      <c r="Z80" s="71">
        <f>VLOOKUP(Y80,Tables!C$5:D$19,2,FALSE)</f>
        <v>1</v>
      </c>
      <c r="AA80" s="72">
        <f>W80/Z80</f>
        <v>700</v>
      </c>
      <c r="AB80" s="73" t="str">
        <f>R80</f>
        <v>Chronic</v>
      </c>
      <c r="AC80" s="71">
        <f>VLOOKUP(AB80,Tables!C$22:D$23,2,FALSE)</f>
        <v>1</v>
      </c>
      <c r="AD80" s="74">
        <f>AA80/AC80</f>
        <v>700</v>
      </c>
      <c r="AE80" s="117" t="s">
        <v>239</v>
      </c>
      <c r="AF80" s="131" t="str">
        <f>E80</f>
        <v>Pimephales promelas</v>
      </c>
      <c r="AG80" s="83" t="str">
        <f>O80</f>
        <v>NOEL</v>
      </c>
      <c r="AH80" s="83" t="str">
        <f>R80</f>
        <v>Chronic</v>
      </c>
      <c r="AI80" s="83"/>
      <c r="AJ80" s="71">
        <f>VLOOKUP(SUM(Z80,AC80),Tables!J$5:K$10,2,FALSE)</f>
        <v>1</v>
      </c>
      <c r="AK80" s="63" t="str">
        <f>IF(AJ80=MIN($AJ$79:$AJ$83),"YES!!!","Reject")</f>
        <v>YES!!!</v>
      </c>
      <c r="AL80" s="77" t="str">
        <f>N80</f>
        <v>Mortality</v>
      </c>
      <c r="AM80" s="68" t="s">
        <v>105</v>
      </c>
      <c r="AN80" s="66" t="str">
        <f>CONCATENATE(P80," ",Q80)</f>
        <v>35 Day</v>
      </c>
      <c r="AO80" s="68" t="s">
        <v>106</v>
      </c>
      <c r="AP80" s="106"/>
      <c r="AQ80" s="74">
        <f>AD80</f>
        <v>700</v>
      </c>
      <c r="AR80" s="77">
        <f>GEOMEAN(AQ80)</f>
        <v>700</v>
      </c>
      <c r="AS80" s="77">
        <f>MIN(AR80)</f>
        <v>700</v>
      </c>
      <c r="AT80" s="77">
        <f>MIN(AS80)</f>
        <v>700</v>
      </c>
      <c r="AU80" s="117" t="s">
        <v>239</v>
      </c>
      <c r="AV80" s="65"/>
      <c r="AW80" s="65"/>
      <c r="AX80" s="77" t="str">
        <f>H80</f>
        <v>Fish</v>
      </c>
      <c r="AY80" s="102" t="str">
        <f>E80</f>
        <v>Pimephales promelas</v>
      </c>
      <c r="AZ80" s="77" t="str">
        <f>F80</f>
        <v>Chordata</v>
      </c>
      <c r="BA80" s="97" t="str">
        <f>G80</f>
        <v>Actinopterygii</v>
      </c>
      <c r="BB80" s="97" t="str">
        <f>I80</f>
        <v>Heterotroph</v>
      </c>
      <c r="BC80" s="86">
        <f>AJ80</f>
        <v>1</v>
      </c>
      <c r="BD80" s="77">
        <f>AT80</f>
        <v>700</v>
      </c>
      <c r="BE80" s="117" t="s">
        <v>239</v>
      </c>
      <c r="BF80" s="117" t="s">
        <v>239</v>
      </c>
      <c r="BG80" s="112"/>
      <c r="BH80" s="112"/>
      <c r="BI80" s="67"/>
      <c r="BJ80" s="87"/>
      <c r="BK80" s="106"/>
      <c r="BL80" s="106"/>
      <c r="BM80" s="106"/>
      <c r="BN80" s="106"/>
      <c r="BO80" s="106"/>
      <c r="BP80" s="106"/>
      <c r="BQ80" s="106"/>
      <c r="BR80" s="67"/>
      <c r="BS80" s="106"/>
      <c r="BT80" s="106"/>
      <c r="CD80"/>
    </row>
    <row r="81" spans="1:107" s="2" customFormat="1">
      <c r="A81" s="68">
        <v>9044</v>
      </c>
      <c r="B81" s="7" t="s">
        <v>171</v>
      </c>
      <c r="D81" s="6" t="s">
        <v>80</v>
      </c>
      <c r="E81" s="128" t="s">
        <v>126</v>
      </c>
      <c r="F81" s="2" t="s">
        <v>187</v>
      </c>
      <c r="G81" s="2" t="s">
        <v>188</v>
      </c>
      <c r="H81" s="4" t="s">
        <v>199</v>
      </c>
      <c r="I81" s="66" t="s">
        <v>56</v>
      </c>
      <c r="J81" s="7" t="s">
        <v>127</v>
      </c>
      <c r="L81" s="162" t="s">
        <v>51</v>
      </c>
      <c r="M81" s="162" t="s">
        <v>51</v>
      </c>
      <c r="N81" s="162" t="s">
        <v>51</v>
      </c>
      <c r="O81" s="7" t="s">
        <v>20</v>
      </c>
      <c r="P81" s="7">
        <v>96</v>
      </c>
      <c r="Q81" s="66" t="s">
        <v>89</v>
      </c>
      <c r="R81" s="68" t="s">
        <v>48</v>
      </c>
      <c r="S81" s="4"/>
      <c r="T81" s="82">
        <v>5.7</v>
      </c>
      <c r="U81" s="4" t="s">
        <v>90</v>
      </c>
      <c r="V81" s="66">
        <f>VLOOKUP(U81,Tables!M$5:O$8,3,FALSE)</f>
        <v>1000</v>
      </c>
      <c r="W81" s="66">
        <f t="shared" si="9"/>
        <v>5700</v>
      </c>
      <c r="X81" s="6"/>
      <c r="Y81" s="71" t="str">
        <f>O81</f>
        <v>LC50</v>
      </c>
      <c r="Z81" s="71">
        <f>VLOOKUP(Y81,Tables!C$5:D$19,2,FALSE)</f>
        <v>5</v>
      </c>
      <c r="AA81" s="72">
        <f>W81/Z81</f>
        <v>1140</v>
      </c>
      <c r="AB81" s="73" t="str">
        <f>R81</f>
        <v>Acute</v>
      </c>
      <c r="AC81" s="71">
        <f>VLOOKUP(AB81,Tables!C$22:D$23,2,FALSE)</f>
        <v>2</v>
      </c>
      <c r="AD81" s="74">
        <f>AA81/AC81</f>
        <v>570</v>
      </c>
      <c r="AE81" s="117" t="s">
        <v>239</v>
      </c>
      <c r="AF81" s="131" t="str">
        <f>E81</f>
        <v>Pimephales promelas</v>
      </c>
      <c r="AG81" s="83" t="str">
        <f>O81</f>
        <v>LC50</v>
      </c>
      <c r="AH81" s="83" t="str">
        <f>R81</f>
        <v>Acute</v>
      </c>
      <c r="AI81" s="83"/>
      <c r="AJ81" s="71">
        <f>VLOOKUP(SUM(Z81,AC81),Tables!J$5:K$10,2,FALSE)</f>
        <v>4</v>
      </c>
      <c r="AK81" s="63" t="str">
        <f>IF(AJ81=MIN($AJ$79:$AJ$83),"YES!!!","Reject")</f>
        <v>Reject</v>
      </c>
      <c r="AL81" s="77"/>
      <c r="AM81" s="68"/>
      <c r="AN81" s="68"/>
      <c r="AO81" s="68"/>
      <c r="AQ81" s="78"/>
      <c r="AR81" s="6"/>
      <c r="AS81" s="6"/>
      <c r="AT81" s="6"/>
      <c r="AU81" s="117" t="s">
        <v>239</v>
      </c>
      <c r="AV81" s="65"/>
      <c r="AW81" s="65"/>
      <c r="AX81" s="6"/>
      <c r="AY81" s="99"/>
      <c r="AZ81" s="6"/>
      <c r="BA81" s="6"/>
      <c r="BB81" s="6"/>
      <c r="BC81" s="6"/>
      <c r="BD81" s="6"/>
      <c r="BE81" s="67"/>
      <c r="BF81" s="106"/>
      <c r="BG81" s="106"/>
      <c r="BH81" s="106"/>
      <c r="BI81" s="67"/>
      <c r="BJ81" s="50"/>
      <c r="BK81" s="106"/>
      <c r="BL81" s="106"/>
      <c r="BM81" s="106"/>
      <c r="BN81" s="106"/>
      <c r="BO81" s="106"/>
      <c r="BP81" s="106"/>
      <c r="BQ81" s="106"/>
      <c r="BR81" s="67"/>
      <c r="BS81" s="67"/>
      <c r="BT81" s="106"/>
      <c r="CD81"/>
    </row>
    <row r="82" spans="1:107" s="2" customFormat="1">
      <c r="A82" s="68">
        <v>9044</v>
      </c>
      <c r="B82" s="7" t="s">
        <v>171</v>
      </c>
      <c r="D82" s="6" t="s">
        <v>80</v>
      </c>
      <c r="E82" s="128" t="s">
        <v>126</v>
      </c>
      <c r="F82" s="2" t="s">
        <v>187</v>
      </c>
      <c r="G82" s="2" t="s">
        <v>188</v>
      </c>
      <c r="H82" s="4" t="s">
        <v>199</v>
      </c>
      <c r="I82" s="4" t="s">
        <v>56</v>
      </c>
      <c r="J82" s="7" t="s">
        <v>174</v>
      </c>
      <c r="L82" s="162" t="s">
        <v>51</v>
      </c>
      <c r="M82" s="162" t="s">
        <v>51</v>
      </c>
      <c r="N82" s="162" t="s">
        <v>51</v>
      </c>
      <c r="O82" s="7" t="s">
        <v>109</v>
      </c>
      <c r="P82" s="7">
        <v>96</v>
      </c>
      <c r="Q82" s="66" t="s">
        <v>89</v>
      </c>
      <c r="R82" s="68" t="s">
        <v>48</v>
      </c>
      <c r="S82" s="4"/>
      <c r="T82" s="82">
        <v>9</v>
      </c>
      <c r="U82" s="4" t="s">
        <v>90</v>
      </c>
      <c r="V82" s="66">
        <f>VLOOKUP(U82,Tables!M$5:O$8,3,FALSE)</f>
        <v>1000</v>
      </c>
      <c r="W82" s="66">
        <f t="shared" si="9"/>
        <v>9000</v>
      </c>
      <c r="X82" s="6"/>
      <c r="Y82" s="71" t="str">
        <f>O82</f>
        <v>NOEL</v>
      </c>
      <c r="Z82" s="71">
        <f>VLOOKUP(Y82,Tables!C$5:D$19,2,FALSE)</f>
        <v>1</v>
      </c>
      <c r="AA82" s="72">
        <f>W82/Z82</f>
        <v>9000</v>
      </c>
      <c r="AB82" s="73" t="str">
        <f>R82</f>
        <v>Acute</v>
      </c>
      <c r="AC82" s="71">
        <f>VLOOKUP(AB82,Tables!C$22:D$23,2,FALSE)</f>
        <v>2</v>
      </c>
      <c r="AD82" s="74">
        <f>AA82/AC82</f>
        <v>4500</v>
      </c>
      <c r="AE82" s="117" t="s">
        <v>239</v>
      </c>
      <c r="AF82" s="131" t="str">
        <f>E82</f>
        <v>Pimephales promelas</v>
      </c>
      <c r="AG82" s="83" t="str">
        <f>O82</f>
        <v>NOEL</v>
      </c>
      <c r="AH82" s="83" t="str">
        <f>R82</f>
        <v>Acute</v>
      </c>
      <c r="AI82" s="83"/>
      <c r="AJ82" s="71" t="str">
        <f>VLOOKUP(SUM(Z82,AC82),Tables!J$5:K$10,2,FALSE)</f>
        <v>Do Not Use</v>
      </c>
      <c r="AK82" s="63" t="str">
        <f>IF(AJ82=MIN($AJ$79:$AJ$83),"YES!!!","Reject")</f>
        <v>Reject</v>
      </c>
      <c r="AL82" s="77"/>
      <c r="AM82" s="68"/>
      <c r="AN82" s="68"/>
      <c r="AO82" s="68"/>
      <c r="AQ82" s="78"/>
      <c r="AR82" s="6"/>
      <c r="AS82" s="6"/>
      <c r="AT82" s="6"/>
      <c r="AU82" s="117" t="s">
        <v>239</v>
      </c>
      <c r="AV82" s="65"/>
      <c r="AW82" s="65"/>
      <c r="AX82" s="6"/>
      <c r="AY82" s="99"/>
      <c r="AZ82" s="6"/>
      <c r="BA82" s="6"/>
      <c r="BB82" s="6"/>
      <c r="BC82" s="6"/>
      <c r="BD82" s="6"/>
      <c r="BE82" s="67"/>
      <c r="BF82" s="106"/>
      <c r="BG82" s="106"/>
      <c r="BH82" s="106"/>
      <c r="BI82" s="67"/>
      <c r="BJ82" s="106"/>
      <c r="BK82" s="106"/>
      <c r="BL82" s="106"/>
      <c r="BM82" s="106"/>
      <c r="BN82" s="106"/>
      <c r="BO82" s="106"/>
      <c r="BP82" s="106"/>
      <c r="BQ82" s="106"/>
      <c r="BR82" s="67"/>
      <c r="BS82" s="67"/>
      <c r="BT82" s="67"/>
      <c r="BU82" s="6"/>
      <c r="BV82" s="6"/>
      <c r="BW82" s="6"/>
      <c r="BX82" s="6"/>
      <c r="BY82" s="6"/>
      <c r="BZ82" s="6"/>
      <c r="CA82" s="6"/>
      <c r="CB82" s="6"/>
      <c r="CC82" s="6"/>
      <c r="CD82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</row>
    <row r="83" spans="1:107" s="65" customFormat="1">
      <c r="A83" s="68">
        <v>1662</v>
      </c>
      <c r="B83" s="7" t="s">
        <v>125</v>
      </c>
      <c r="C83" s="2"/>
      <c r="D83" s="6" t="s">
        <v>80</v>
      </c>
      <c r="E83" s="128" t="s">
        <v>126</v>
      </c>
      <c r="F83" s="2" t="s">
        <v>187</v>
      </c>
      <c r="G83" s="2" t="s">
        <v>188</v>
      </c>
      <c r="H83" s="4" t="s">
        <v>199</v>
      </c>
      <c r="I83" s="4" t="s">
        <v>56</v>
      </c>
      <c r="J83" s="68" t="s">
        <v>174</v>
      </c>
      <c r="K83" s="2"/>
      <c r="L83" s="162" t="s">
        <v>51</v>
      </c>
      <c r="M83" s="162" t="s">
        <v>51</v>
      </c>
      <c r="N83" s="162" t="s">
        <v>51</v>
      </c>
      <c r="O83" s="7" t="s">
        <v>20</v>
      </c>
      <c r="P83" s="7">
        <v>96</v>
      </c>
      <c r="Q83" s="66" t="s">
        <v>89</v>
      </c>
      <c r="R83" s="68" t="s">
        <v>48</v>
      </c>
      <c r="S83" s="4"/>
      <c r="T83" s="82">
        <v>16</v>
      </c>
      <c r="U83" s="4" t="s">
        <v>90</v>
      </c>
      <c r="V83" s="66">
        <f>VLOOKUP(U83,Tables!M$5:O$8,3,FALSE)</f>
        <v>1000</v>
      </c>
      <c r="W83" s="66">
        <f t="shared" si="9"/>
        <v>16000</v>
      </c>
      <c r="X83" s="6"/>
      <c r="Y83" s="71" t="str">
        <f>O83</f>
        <v>LC50</v>
      </c>
      <c r="Z83" s="71">
        <f>VLOOKUP(Y83,Tables!C$5:D$19,2,FALSE)</f>
        <v>5</v>
      </c>
      <c r="AA83" s="72">
        <f>W83/Z83</f>
        <v>3200</v>
      </c>
      <c r="AB83" s="73" t="str">
        <f>R83</f>
        <v>Acute</v>
      </c>
      <c r="AC83" s="71">
        <f>VLOOKUP(AB83,Tables!C$22:D$23,2,FALSE)</f>
        <v>2</v>
      </c>
      <c r="AD83" s="74">
        <f>AA83/AC83</f>
        <v>1600</v>
      </c>
      <c r="AE83" s="117" t="s">
        <v>239</v>
      </c>
      <c r="AF83" s="131" t="str">
        <f>E83</f>
        <v>Pimephales promelas</v>
      </c>
      <c r="AG83" s="83" t="str">
        <f>O83</f>
        <v>LC50</v>
      </c>
      <c r="AH83" s="83" t="str">
        <f>R83</f>
        <v>Acute</v>
      </c>
      <c r="AI83" s="83"/>
      <c r="AJ83" s="71">
        <f>VLOOKUP(SUM(Z83,AC83),Tables!J$5:K$10,2,FALSE)</f>
        <v>4</v>
      </c>
      <c r="AK83" s="63" t="str">
        <f>IF(AJ83=MIN($AJ$79:$AJ$83),"YES!!!","Reject")</f>
        <v>Reject</v>
      </c>
      <c r="AL83" s="77"/>
      <c r="AM83" s="68"/>
      <c r="AN83" s="68"/>
      <c r="AO83" s="68"/>
      <c r="AP83" s="2"/>
      <c r="AQ83" s="78"/>
      <c r="AR83" s="6"/>
      <c r="AS83" s="6"/>
      <c r="AT83" s="6"/>
      <c r="AU83" s="117" t="s">
        <v>239</v>
      </c>
      <c r="AX83" s="6"/>
      <c r="AY83" s="99"/>
      <c r="AZ83" s="6"/>
      <c r="BA83" s="6"/>
      <c r="BB83" s="6"/>
      <c r="BC83" s="6"/>
      <c r="BD83" s="6"/>
      <c r="BE83" s="67"/>
      <c r="BF83" s="106"/>
      <c r="BG83" s="106"/>
      <c r="BH83" s="106"/>
      <c r="BI83" s="67"/>
      <c r="BJ83" s="50"/>
      <c r="BK83" s="106"/>
      <c r="BL83" s="106"/>
      <c r="BM83" s="106"/>
      <c r="BN83" s="106"/>
      <c r="BO83" s="50"/>
      <c r="BP83" s="50"/>
      <c r="BQ83" s="106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</row>
    <row r="84" spans="1:107" s="65" customFormat="1" ht="16.5" hidden="1" thickTop="1" thickBot="1">
      <c r="A84" s="40"/>
      <c r="B84" s="40"/>
      <c r="C84" s="34"/>
      <c r="D84" s="34"/>
      <c r="E84" s="168"/>
      <c r="F84" s="34"/>
      <c r="G84" s="34"/>
      <c r="H84" s="40"/>
      <c r="I84" s="40"/>
      <c r="J84" s="40"/>
      <c r="K84" s="34"/>
      <c r="L84" s="163"/>
      <c r="M84" s="163"/>
      <c r="N84" s="163"/>
      <c r="O84" s="40"/>
      <c r="P84" s="40"/>
      <c r="Q84" s="40"/>
      <c r="R84" s="40"/>
      <c r="S84" s="40"/>
      <c r="T84" s="40"/>
      <c r="U84" s="40"/>
      <c r="V84" s="40"/>
      <c r="W84" s="70"/>
      <c r="X84" s="34"/>
      <c r="Y84" s="40"/>
      <c r="Z84" s="40"/>
      <c r="AA84" s="70"/>
      <c r="AB84" s="40"/>
      <c r="AC84" s="40"/>
      <c r="AD84" s="70"/>
      <c r="AE84" s="40"/>
      <c r="AF84" s="100"/>
      <c r="AG84" s="81"/>
      <c r="AH84" s="81"/>
      <c r="AI84" s="34"/>
      <c r="AJ84" s="34"/>
      <c r="AK84" s="34"/>
      <c r="AL84" s="34"/>
      <c r="AM84" s="40"/>
      <c r="AN84" s="40"/>
      <c r="AO84" s="40"/>
      <c r="AP84" s="34"/>
      <c r="AQ84" s="70"/>
      <c r="AR84" s="34"/>
      <c r="AS84" s="34"/>
      <c r="AT84" s="34"/>
      <c r="AU84" s="40"/>
      <c r="AV84" s="50"/>
      <c r="AW84" s="50"/>
      <c r="AX84" s="90"/>
      <c r="AY84" s="100"/>
      <c r="AZ84" s="34"/>
      <c r="BA84" s="34"/>
      <c r="BB84" s="34"/>
      <c r="BC84" s="34"/>
      <c r="BD84" s="34"/>
      <c r="BE84" s="89"/>
      <c r="BF84" s="89"/>
      <c r="BG84" s="50"/>
      <c r="BH84" s="50"/>
      <c r="BI84" s="67"/>
      <c r="BJ84" s="87"/>
      <c r="BK84" s="106"/>
      <c r="BL84" s="106"/>
      <c r="BM84" s="106"/>
      <c r="BN84" s="106"/>
      <c r="BO84" s="106"/>
      <c r="BP84" s="106"/>
      <c r="BQ84" s="119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</row>
    <row r="85" spans="1:107" s="65" customFormat="1">
      <c r="A85" s="68">
        <v>1649</v>
      </c>
      <c r="B85" s="116">
        <v>2049116</v>
      </c>
      <c r="C85" s="118"/>
      <c r="D85" s="67" t="s">
        <v>80</v>
      </c>
      <c r="E85" s="170" t="s">
        <v>155</v>
      </c>
      <c r="F85" s="106" t="s">
        <v>81</v>
      </c>
      <c r="G85" s="106" t="s">
        <v>180</v>
      </c>
      <c r="H85" s="66" t="s">
        <v>17</v>
      </c>
      <c r="I85" s="68" t="s">
        <v>18</v>
      </c>
      <c r="J85" s="68" t="s">
        <v>174</v>
      </c>
      <c r="K85" s="118"/>
      <c r="L85" s="162" t="s">
        <v>205</v>
      </c>
      <c r="M85" s="162" t="s">
        <v>205</v>
      </c>
      <c r="N85" s="162" t="s">
        <v>205</v>
      </c>
      <c r="O85" s="121" t="s">
        <v>15</v>
      </c>
      <c r="P85" s="68">
        <v>72</v>
      </c>
      <c r="Q85" s="66" t="s">
        <v>89</v>
      </c>
      <c r="R85" s="68" t="s">
        <v>16</v>
      </c>
      <c r="S85" s="116"/>
      <c r="T85" s="116">
        <v>24</v>
      </c>
      <c r="U85" s="121" t="s">
        <v>87</v>
      </c>
      <c r="V85" s="66">
        <f>VLOOKUP(U85,Tables!M$5:O$8,3,FALSE)</f>
        <v>1</v>
      </c>
      <c r="W85" s="66">
        <f>T85*V85</f>
        <v>24</v>
      </c>
      <c r="X85" s="66"/>
      <c r="Y85" s="71" t="str">
        <f>O85</f>
        <v>EC50</v>
      </c>
      <c r="Z85" s="71">
        <f>VLOOKUP(Y85,Tables!C$5:D$19,2,FALSE)</f>
        <v>5</v>
      </c>
      <c r="AA85" s="72">
        <f>W85/Z85</f>
        <v>4.8</v>
      </c>
      <c r="AB85" s="73" t="str">
        <f>R85</f>
        <v>Chronic</v>
      </c>
      <c r="AC85" s="71">
        <f>VLOOKUP(AB85,Tables!C$22:D$23,2,FALSE)</f>
        <v>1</v>
      </c>
      <c r="AD85" s="74">
        <f>AA85/AC85</f>
        <v>4.8</v>
      </c>
      <c r="AE85" s="117" t="s">
        <v>239</v>
      </c>
      <c r="AF85" s="131" t="str">
        <f>E85</f>
        <v>Platymonas sp.</v>
      </c>
      <c r="AG85" s="83" t="str">
        <f>O85</f>
        <v>EC50</v>
      </c>
      <c r="AH85" s="83" t="str">
        <f>R85</f>
        <v>Chronic</v>
      </c>
      <c r="AI85" s="83"/>
      <c r="AJ85" s="71">
        <f>VLOOKUP(SUM(Z85,AC85),Tables!J$5:K$10,2,FALSE)</f>
        <v>2</v>
      </c>
      <c r="AK85" s="63" t="str">
        <f>IF(AJ85=MIN($AJ$85),"YES!!!","Reject")</f>
        <v>YES!!!</v>
      </c>
      <c r="AL85" s="77" t="str">
        <f>N85</f>
        <v>Biomass yield, growth rate, area under the growth curve</v>
      </c>
      <c r="AM85" s="68" t="s">
        <v>105</v>
      </c>
      <c r="AN85" s="66" t="str">
        <f>CONCATENATE(P85," ",Q85)</f>
        <v>72 Hour</v>
      </c>
      <c r="AO85" s="68" t="s">
        <v>106</v>
      </c>
      <c r="AP85" s="106"/>
      <c r="AQ85" s="74">
        <f>AD85</f>
        <v>4.8</v>
      </c>
      <c r="AR85" s="77">
        <f>GEOMEAN(AQ85)</f>
        <v>4.8</v>
      </c>
      <c r="AS85" s="77">
        <f>MIN(AR85)</f>
        <v>4.8</v>
      </c>
      <c r="AT85" s="77">
        <f>MIN(AS85)</f>
        <v>4.8</v>
      </c>
      <c r="AU85" s="117" t="s">
        <v>239</v>
      </c>
      <c r="AV85" s="106"/>
      <c r="AW85" s="106"/>
      <c r="AX85" s="77" t="str">
        <f>H85</f>
        <v>Microalgae</v>
      </c>
      <c r="AY85" s="102" t="str">
        <f>E85</f>
        <v>Platymonas sp.</v>
      </c>
      <c r="AZ85" s="77" t="str">
        <f>F85</f>
        <v>Chlorophyta</v>
      </c>
      <c r="BA85" s="97" t="str">
        <f>G85</f>
        <v>Chlorophyceae</v>
      </c>
      <c r="BB85" s="97" t="str">
        <f>I85</f>
        <v>Phototroph</v>
      </c>
      <c r="BC85" s="86">
        <f>AJ85</f>
        <v>2</v>
      </c>
      <c r="BD85" s="77">
        <f>AT85</f>
        <v>4.8</v>
      </c>
      <c r="BE85" s="117" t="s">
        <v>239</v>
      </c>
      <c r="BF85" s="117" t="s">
        <v>239</v>
      </c>
      <c r="BG85" s="112"/>
      <c r="BH85" s="112"/>
      <c r="BI85" s="67"/>
      <c r="BJ85" s="106"/>
      <c r="BK85" s="106"/>
      <c r="BL85" s="106"/>
      <c r="BM85" s="106"/>
      <c r="BN85" s="106"/>
      <c r="BO85" s="50"/>
      <c r="BP85" s="50"/>
      <c r="BQ85" s="106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</row>
    <row r="86" spans="1:107" s="65" customFormat="1" ht="16.5" hidden="1" thickTop="1" thickBot="1">
      <c r="A86" s="40"/>
      <c r="B86" s="40"/>
      <c r="C86" s="34"/>
      <c r="D86" s="34"/>
      <c r="E86" s="168"/>
      <c r="F86" s="34"/>
      <c r="G86" s="34"/>
      <c r="H86" s="40"/>
      <c r="I86" s="40"/>
      <c r="J86" s="40"/>
      <c r="K86" s="34"/>
      <c r="L86" s="163"/>
      <c r="M86" s="163"/>
      <c r="N86" s="163"/>
      <c r="O86" s="40"/>
      <c r="P86" s="40"/>
      <c r="Q86" s="40"/>
      <c r="R86" s="40"/>
      <c r="S86" s="40"/>
      <c r="T86" s="40"/>
      <c r="U86" s="40"/>
      <c r="V86" s="40"/>
      <c r="W86" s="70"/>
      <c r="X86" s="34"/>
      <c r="Y86" s="40"/>
      <c r="Z86" s="40"/>
      <c r="AA86" s="70"/>
      <c r="AB86" s="40"/>
      <c r="AC86" s="40"/>
      <c r="AD86" s="70"/>
      <c r="AE86" s="40"/>
      <c r="AF86" s="100"/>
      <c r="AG86" s="81"/>
      <c r="AH86" s="81"/>
      <c r="AI86" s="34"/>
      <c r="AJ86" s="34"/>
      <c r="AK86" s="34"/>
      <c r="AL86" s="34"/>
      <c r="AM86" s="40"/>
      <c r="AN86" s="40"/>
      <c r="AO86" s="40"/>
      <c r="AP86" s="34"/>
      <c r="AQ86" s="70"/>
      <c r="AR86" s="34"/>
      <c r="AS86" s="34"/>
      <c r="AT86" s="34"/>
      <c r="AU86" s="40"/>
      <c r="AV86" s="50"/>
      <c r="AW86" s="50"/>
      <c r="AX86" s="90"/>
      <c r="AY86" s="100"/>
      <c r="AZ86" s="34"/>
      <c r="BA86" s="34"/>
      <c r="BB86" s="34"/>
      <c r="BC86" s="34"/>
      <c r="BD86" s="34"/>
      <c r="BE86" s="89"/>
      <c r="BF86" s="89"/>
      <c r="BG86" s="50"/>
      <c r="BH86" s="50"/>
      <c r="BI86" s="119"/>
      <c r="BJ86" s="106"/>
      <c r="BK86" s="106"/>
      <c r="BL86" s="106"/>
      <c r="BM86" s="106"/>
      <c r="BN86" s="106"/>
      <c r="BO86" s="106"/>
      <c r="BP86" s="106"/>
      <c r="BQ86" s="106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</row>
    <row r="87" spans="1:107" s="65" customFormat="1" hidden="1">
      <c r="A87" s="68">
        <v>1650</v>
      </c>
      <c r="B87" s="7" t="s">
        <v>138</v>
      </c>
      <c r="C87" s="2"/>
      <c r="D87" s="106" t="s">
        <v>112</v>
      </c>
      <c r="E87" s="128" t="s">
        <v>156</v>
      </c>
      <c r="F87" s="2" t="s">
        <v>193</v>
      </c>
      <c r="G87" s="2" t="s">
        <v>194</v>
      </c>
      <c r="H87" s="4" t="s">
        <v>198</v>
      </c>
      <c r="I87" s="68" t="s">
        <v>18</v>
      </c>
      <c r="J87" s="7" t="s">
        <v>174</v>
      </c>
      <c r="K87" s="2"/>
      <c r="L87" s="162" t="s">
        <v>205</v>
      </c>
      <c r="M87" s="162" t="s">
        <v>205</v>
      </c>
      <c r="N87" s="162" t="s">
        <v>205</v>
      </c>
      <c r="O87" s="7" t="s">
        <v>15</v>
      </c>
      <c r="P87" s="7">
        <v>72</v>
      </c>
      <c r="Q87" s="4" t="s">
        <v>89</v>
      </c>
      <c r="R87" s="66" t="s">
        <v>48</v>
      </c>
      <c r="S87" s="4"/>
      <c r="T87" s="82">
        <v>36</v>
      </c>
      <c r="U87" s="4" t="s">
        <v>87</v>
      </c>
      <c r="V87" s="66">
        <f>VLOOKUP(U87,Tables!M$5:O$8,3,FALSE)</f>
        <v>1</v>
      </c>
      <c r="W87" s="66">
        <f t="shared" si="9"/>
        <v>36</v>
      </c>
      <c r="X87" s="6"/>
      <c r="Y87" s="71" t="str">
        <f>O87</f>
        <v>EC50</v>
      </c>
      <c r="Z87" s="71">
        <f>VLOOKUP(Y87,Tables!C$5:D$19,2,FALSE)</f>
        <v>5</v>
      </c>
      <c r="AA87" s="72">
        <f>W87/Z87</f>
        <v>7.2</v>
      </c>
      <c r="AB87" s="73" t="str">
        <f>R87</f>
        <v>Acute</v>
      </c>
      <c r="AC87" s="71">
        <f>VLOOKUP(AB87,Tables!C$22:D$23,2,FALSE)</f>
        <v>2</v>
      </c>
      <c r="AD87" s="74">
        <f>AA87/AC87</f>
        <v>3.6</v>
      </c>
      <c r="AE87" s="117" t="s">
        <v>239</v>
      </c>
      <c r="AF87" s="131" t="str">
        <f>E87</f>
        <v>Porphyridium cruentum</v>
      </c>
      <c r="AG87" s="83" t="str">
        <f>O87</f>
        <v>EC50</v>
      </c>
      <c r="AH87" s="83" t="str">
        <f>R87</f>
        <v>Acute</v>
      </c>
      <c r="AI87" s="83"/>
      <c r="AJ87" s="71">
        <f>VLOOKUP(SUM(Z87,AC87),Tables!J$5:K$10,2,FALSE)</f>
        <v>4</v>
      </c>
      <c r="AK87" s="63" t="str">
        <f>IF(AJ87=MIN($AJ$87),"YES!!!","Reject")</f>
        <v>YES!!!</v>
      </c>
      <c r="AL87" s="77" t="str">
        <f>N87</f>
        <v>Biomass yield, growth rate, area under the growth curve</v>
      </c>
      <c r="AM87" s="68" t="s">
        <v>105</v>
      </c>
      <c r="AN87" s="66" t="str">
        <f>CONCATENATE(P87," ",Q87)</f>
        <v>72 Hour</v>
      </c>
      <c r="AO87" s="68" t="s">
        <v>106</v>
      </c>
      <c r="AP87" s="106"/>
      <c r="AQ87" s="74">
        <f>AD87</f>
        <v>3.6</v>
      </c>
      <c r="AR87" s="77">
        <f>GEOMEAN(AQ87)</f>
        <v>3.6</v>
      </c>
      <c r="AS87" s="77">
        <f>MIN(AR87)</f>
        <v>3.6</v>
      </c>
      <c r="AT87" s="77">
        <f>MIN(AS87)</f>
        <v>3.6</v>
      </c>
      <c r="AU87" s="117" t="s">
        <v>239</v>
      </c>
      <c r="AX87" s="77" t="str">
        <f>H87</f>
        <v>Macroalgae</v>
      </c>
      <c r="AY87" s="102" t="str">
        <f>E87</f>
        <v>Porphyridium cruentum</v>
      </c>
      <c r="AZ87" s="77" t="str">
        <f>F87</f>
        <v>Rhodophyta</v>
      </c>
      <c r="BA87" s="97" t="str">
        <f>G87</f>
        <v>Porphyridiophyceae</v>
      </c>
      <c r="BB87" s="97" t="str">
        <f>I87</f>
        <v>Phototroph</v>
      </c>
      <c r="BC87" s="86">
        <f>AJ87</f>
        <v>4</v>
      </c>
      <c r="BD87" s="77">
        <f>AT87</f>
        <v>3.6</v>
      </c>
      <c r="BE87" s="117" t="s">
        <v>239</v>
      </c>
      <c r="BF87" s="117" t="s">
        <v>239</v>
      </c>
      <c r="BG87" s="112"/>
      <c r="BH87" s="112"/>
      <c r="BI87" s="67"/>
      <c r="BJ87" s="50"/>
      <c r="BK87" s="106"/>
      <c r="BL87" s="106"/>
      <c r="BM87" s="106"/>
      <c r="BN87" s="106"/>
      <c r="BO87" s="106"/>
      <c r="BP87" s="106"/>
      <c r="BQ87" s="106"/>
      <c r="BR87" s="119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</row>
    <row r="88" spans="1:107" s="65" customFormat="1" ht="17.25" hidden="1" customHeight="1" thickTop="1" thickBot="1">
      <c r="A88" s="40"/>
      <c r="B88" s="40"/>
      <c r="C88" s="34"/>
      <c r="D88" s="34"/>
      <c r="E88" s="168"/>
      <c r="F88" s="34"/>
      <c r="G88" s="34"/>
      <c r="H88" s="40"/>
      <c r="I88" s="40"/>
      <c r="J88" s="40"/>
      <c r="K88" s="34"/>
      <c r="L88" s="163"/>
      <c r="M88" s="163"/>
      <c r="N88" s="163"/>
      <c r="O88" s="40"/>
      <c r="P88" s="40"/>
      <c r="Q88" s="40"/>
      <c r="R88" s="40"/>
      <c r="S88" s="40"/>
      <c r="T88" s="40"/>
      <c r="U88" s="40"/>
      <c r="V88" s="70"/>
      <c r="W88" s="70"/>
      <c r="X88" s="34"/>
      <c r="Y88" s="40"/>
      <c r="Z88" s="40"/>
      <c r="AA88" s="70"/>
      <c r="AB88" s="40"/>
      <c r="AC88" s="40"/>
      <c r="AD88" s="70"/>
      <c r="AE88" s="40"/>
      <c r="AF88" s="100"/>
      <c r="AG88" s="81"/>
      <c r="AH88" s="81"/>
      <c r="AI88" s="34"/>
      <c r="AJ88" s="34"/>
      <c r="AK88" s="34"/>
      <c r="AL88" s="34"/>
      <c r="AM88" s="40"/>
      <c r="AN88" s="40"/>
      <c r="AO88" s="40"/>
      <c r="AP88" s="34"/>
      <c r="AQ88" s="70"/>
      <c r="AR88" s="34"/>
      <c r="AS88" s="34"/>
      <c r="AT88" s="34"/>
      <c r="AU88" s="40"/>
      <c r="AV88" s="50"/>
      <c r="AW88" s="50"/>
      <c r="AX88" s="90"/>
      <c r="AY88" s="100"/>
      <c r="AZ88" s="34"/>
      <c r="BA88" s="34"/>
      <c r="BB88" s="34"/>
      <c r="BC88" s="34"/>
      <c r="BD88" s="34"/>
      <c r="BE88" s="89"/>
      <c r="BF88" s="89"/>
      <c r="BG88" s="50"/>
      <c r="BH88" s="50"/>
      <c r="BI88" s="6"/>
      <c r="BJ88" s="87"/>
      <c r="BK88" s="6"/>
      <c r="BL88" s="6"/>
      <c r="BM88" s="106"/>
      <c r="BN88" s="106"/>
      <c r="BO88" s="106"/>
      <c r="BP88" s="106"/>
      <c r="BQ88" s="106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</row>
    <row r="89" spans="1:107" s="106" customFormat="1" ht="30">
      <c r="A89" s="66">
        <v>617</v>
      </c>
      <c r="B89" s="66">
        <v>136</v>
      </c>
      <c r="C89" s="158" t="s">
        <v>247</v>
      </c>
      <c r="D89" s="66" t="s">
        <v>80</v>
      </c>
      <c r="E89" s="108" t="s">
        <v>118</v>
      </c>
      <c r="F89" s="66" t="s">
        <v>81</v>
      </c>
      <c r="G89" s="66" t="s">
        <v>180</v>
      </c>
      <c r="H89" s="66" t="s">
        <v>17</v>
      </c>
      <c r="I89" s="66" t="s">
        <v>18</v>
      </c>
      <c r="J89" s="66" t="s">
        <v>174</v>
      </c>
      <c r="K89" s="66"/>
      <c r="L89" s="162" t="str">
        <f>CONCATENATE(M89, " ", "(", N89, ")")</f>
        <v>Population (Fluoresence)</v>
      </c>
      <c r="M89" s="162" t="s">
        <v>202</v>
      </c>
      <c r="N89" s="152" t="s">
        <v>230</v>
      </c>
      <c r="O89" s="138" t="s">
        <v>15</v>
      </c>
      <c r="P89" s="138">
        <v>4</v>
      </c>
      <c r="Q89" s="138" t="s">
        <v>184</v>
      </c>
      <c r="R89" s="138" t="s">
        <v>16</v>
      </c>
      <c r="S89" s="138"/>
      <c r="T89" s="138">
        <v>11.6</v>
      </c>
      <c r="U89" s="138" t="s">
        <v>62</v>
      </c>
      <c r="V89" s="138">
        <f>VLOOKUP(U89,Tables!M$5:O$8,3,FALSE)</f>
        <v>1</v>
      </c>
      <c r="W89" s="138">
        <f t="shared" si="9"/>
        <v>11.6</v>
      </c>
      <c r="X89" s="138"/>
      <c r="Y89" s="138" t="str">
        <f>O89</f>
        <v>EC50</v>
      </c>
      <c r="Z89" s="138">
        <f>VLOOKUP(Y89,Tables!C$5:D$19,2,FALSE)</f>
        <v>5</v>
      </c>
      <c r="AA89" s="138">
        <f>W89/Z89</f>
        <v>2.3199999999999998</v>
      </c>
      <c r="AB89" s="138" t="str">
        <f>R89</f>
        <v>Chronic</v>
      </c>
      <c r="AC89" s="138">
        <f>VLOOKUP(AB89,Tables!C$22:D$23,2,FALSE)</f>
        <v>1</v>
      </c>
      <c r="AD89" s="138">
        <f>AA89/AC89</f>
        <v>2.3199999999999998</v>
      </c>
      <c r="AE89" s="117" t="s">
        <v>239</v>
      </c>
      <c r="AF89" s="151" t="str">
        <f>E89</f>
        <v>Pseudokirchneriella subcapitata</v>
      </c>
      <c r="AG89" s="138" t="str">
        <f>O89</f>
        <v>EC50</v>
      </c>
      <c r="AH89" s="138" t="str">
        <f>R89</f>
        <v>Chronic</v>
      </c>
      <c r="AI89" s="138"/>
      <c r="AJ89" s="138">
        <f>VLOOKUP(SUM(Z89,AC89),Tables!J$5:K$10,2,FALSE)</f>
        <v>2</v>
      </c>
      <c r="AK89" s="138" t="str">
        <f>IF(AJ89=MIN($AJ$89:$AJ$92),"YES!!!","Reject")</f>
        <v>Reject</v>
      </c>
      <c r="AL89" s="138"/>
      <c r="AM89" s="138"/>
      <c r="AN89" s="138"/>
      <c r="AO89" s="138"/>
      <c r="AP89" s="138"/>
      <c r="AQ89" s="138"/>
      <c r="AR89" s="138"/>
      <c r="AS89" s="138"/>
      <c r="AT89" s="138"/>
      <c r="AU89" s="117" t="s">
        <v>239</v>
      </c>
      <c r="AV89" s="77"/>
      <c r="AW89" s="77"/>
      <c r="AX89" s="77"/>
      <c r="AY89" s="102"/>
      <c r="AZ89" s="77"/>
      <c r="BA89" s="77"/>
      <c r="BB89" s="77"/>
      <c r="BC89" s="77"/>
      <c r="BD89" s="77"/>
      <c r="BE89" s="77"/>
      <c r="BF89" s="87"/>
      <c r="BG89" s="87"/>
      <c r="BH89" s="87"/>
      <c r="BI89" s="67"/>
      <c r="BK89" s="6"/>
      <c r="BL89" s="6"/>
      <c r="BR89" s="2"/>
      <c r="BS89" s="119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</row>
    <row r="90" spans="1:107" s="119" customFormat="1">
      <c r="A90" s="68" t="s">
        <v>176</v>
      </c>
      <c r="B90" s="7" t="s">
        <v>172</v>
      </c>
      <c r="C90" s="2"/>
      <c r="D90" s="67" t="s">
        <v>80</v>
      </c>
      <c r="E90" s="128" t="s">
        <v>173</v>
      </c>
      <c r="F90" s="2" t="s">
        <v>81</v>
      </c>
      <c r="G90" s="2" t="s">
        <v>180</v>
      </c>
      <c r="H90" s="66" t="s">
        <v>17</v>
      </c>
      <c r="I90" s="7" t="s">
        <v>18</v>
      </c>
      <c r="J90" s="7" t="s">
        <v>174</v>
      </c>
      <c r="K90" s="2"/>
      <c r="L90" s="162" t="s">
        <v>175</v>
      </c>
      <c r="M90" s="162" t="s">
        <v>196</v>
      </c>
      <c r="N90" s="162" t="s">
        <v>197</v>
      </c>
      <c r="O90" s="7" t="s">
        <v>15</v>
      </c>
      <c r="P90" s="7">
        <v>96</v>
      </c>
      <c r="Q90" s="68" t="s">
        <v>89</v>
      </c>
      <c r="R90" s="68" t="s">
        <v>16</v>
      </c>
      <c r="S90" s="4"/>
      <c r="T90" s="4">
        <v>1.1599999999999999E-2</v>
      </c>
      <c r="U90" s="4" t="s">
        <v>61</v>
      </c>
      <c r="V90" s="66">
        <f>VLOOKUP(U90,Tables!M$5:O$8,3,FALSE)</f>
        <v>1000</v>
      </c>
      <c r="W90" s="66">
        <f t="shared" si="9"/>
        <v>11.6</v>
      </c>
      <c r="X90" s="6"/>
      <c r="Y90" s="71" t="str">
        <f>O90</f>
        <v>EC50</v>
      </c>
      <c r="Z90" s="71">
        <f>VLOOKUP(Y90,Tables!C$5:D$19,2,FALSE)</f>
        <v>5</v>
      </c>
      <c r="AA90" s="72">
        <f>W90/Z90</f>
        <v>2.3199999999999998</v>
      </c>
      <c r="AB90" s="73" t="str">
        <f>R90</f>
        <v>Chronic</v>
      </c>
      <c r="AC90" s="71">
        <f>VLOOKUP(AB90,Tables!C$22:D$23,2,FALSE)</f>
        <v>1</v>
      </c>
      <c r="AD90" s="74">
        <f>AA90/AC90</f>
        <v>2.3199999999999998</v>
      </c>
      <c r="AE90" s="117" t="s">
        <v>239</v>
      </c>
      <c r="AF90" s="131" t="str">
        <f>E90</f>
        <v>Raphidocelis subcapitata</v>
      </c>
      <c r="AG90" s="83" t="str">
        <f>O90</f>
        <v>EC50</v>
      </c>
      <c r="AH90" s="83" t="str">
        <f>R90</f>
        <v>Chronic</v>
      </c>
      <c r="AI90" s="83"/>
      <c r="AJ90" s="71">
        <f>VLOOKUP(SUM(Z90,AC90),Tables!J$5:K$10,2,FALSE)</f>
        <v>2</v>
      </c>
      <c r="AK90" s="63" t="str">
        <f>IF(AJ90=MIN($AJ$89:$AJ$92),"YES!!!","Reject")</f>
        <v>Reject</v>
      </c>
      <c r="AL90" s="77"/>
      <c r="AM90" s="68"/>
      <c r="AN90" s="66"/>
      <c r="AO90" s="68"/>
      <c r="AP90" s="2"/>
      <c r="AQ90" s="74"/>
      <c r="AR90" s="77"/>
      <c r="AS90" s="77"/>
      <c r="AT90" s="77"/>
      <c r="AU90" s="117" t="s">
        <v>239</v>
      </c>
      <c r="AV90" s="65"/>
      <c r="AW90" s="65"/>
      <c r="AX90" s="77"/>
      <c r="AY90" s="102"/>
      <c r="AZ90" s="77"/>
      <c r="BA90" s="85"/>
      <c r="BB90" s="85"/>
      <c r="BC90" s="86"/>
      <c r="BD90" s="77"/>
      <c r="BE90" s="77"/>
      <c r="BF90" s="87"/>
      <c r="BG90" s="87"/>
      <c r="BH90" s="87"/>
      <c r="BI90" s="67"/>
      <c r="BJ90" s="106"/>
      <c r="BK90" s="6"/>
      <c r="BL90" s="6"/>
      <c r="BM90" s="106"/>
      <c r="BN90" s="106"/>
      <c r="BO90" s="50"/>
      <c r="BP90" s="50"/>
      <c r="BQ90" s="106"/>
      <c r="BR90" s="65"/>
      <c r="BS90" s="67"/>
    </row>
    <row r="91" spans="1:107" s="106" customFormat="1">
      <c r="A91" s="68">
        <v>1655</v>
      </c>
      <c r="B91" s="7" t="s">
        <v>157</v>
      </c>
      <c r="C91" s="2"/>
      <c r="D91" s="6" t="s">
        <v>80</v>
      </c>
      <c r="E91" s="128" t="s">
        <v>158</v>
      </c>
      <c r="F91" s="2" t="s">
        <v>81</v>
      </c>
      <c r="G91" s="2" t="s">
        <v>180</v>
      </c>
      <c r="H91" s="4" t="s">
        <v>17</v>
      </c>
      <c r="I91" s="7" t="s">
        <v>18</v>
      </c>
      <c r="J91" s="7" t="s">
        <v>174</v>
      </c>
      <c r="K91" s="2"/>
      <c r="L91" s="162" t="s">
        <v>205</v>
      </c>
      <c r="M91" s="162" t="s">
        <v>205</v>
      </c>
      <c r="N91" s="162" t="s">
        <v>205</v>
      </c>
      <c r="O91" s="7" t="s">
        <v>15</v>
      </c>
      <c r="P91" s="7">
        <v>7</v>
      </c>
      <c r="Q91" s="68" t="s">
        <v>184</v>
      </c>
      <c r="R91" s="68" t="s">
        <v>16</v>
      </c>
      <c r="S91" s="4"/>
      <c r="T91" s="4">
        <v>3.67</v>
      </c>
      <c r="U91" s="4" t="s">
        <v>87</v>
      </c>
      <c r="V91" s="66">
        <f>VLOOKUP(U91,Tables!M$5:O$8,3,FALSE)</f>
        <v>1</v>
      </c>
      <c r="W91" s="66">
        <f t="shared" si="9"/>
        <v>3.67</v>
      </c>
      <c r="X91" s="6"/>
      <c r="Y91" s="71" t="str">
        <f>O91</f>
        <v>EC50</v>
      </c>
      <c r="Z91" s="71">
        <f>VLOOKUP(Y91,Tables!C$5:D$19,2,FALSE)</f>
        <v>5</v>
      </c>
      <c r="AA91" s="72">
        <f>W91/Z91</f>
        <v>0.73399999999999999</v>
      </c>
      <c r="AB91" s="73" t="str">
        <f>R91</f>
        <v>Chronic</v>
      </c>
      <c r="AC91" s="71">
        <f>VLOOKUP(AB91,Tables!C$22:D$23,2,FALSE)</f>
        <v>1</v>
      </c>
      <c r="AD91" s="74">
        <f>AA91/AC91</f>
        <v>0.73399999999999999</v>
      </c>
      <c r="AE91" s="117" t="s">
        <v>239</v>
      </c>
      <c r="AF91" s="131" t="str">
        <f>E91</f>
        <v>Selenastrum capricornutum</v>
      </c>
      <c r="AG91" s="83" t="str">
        <f>O91</f>
        <v>EC50</v>
      </c>
      <c r="AH91" s="83" t="str">
        <f>R91</f>
        <v>Chronic</v>
      </c>
      <c r="AI91" s="83"/>
      <c r="AJ91" s="71">
        <f>VLOOKUP(SUM(Z91,AC91),Tables!J$5:K$10,2,FALSE)</f>
        <v>2</v>
      </c>
      <c r="AK91" s="63" t="str">
        <f>IF(AJ91=MIN($AJ$89:$AJ$92),"YES!!!","Reject")</f>
        <v>Reject</v>
      </c>
      <c r="AL91" s="77"/>
      <c r="AM91" s="68"/>
      <c r="AN91" s="68"/>
      <c r="AO91" s="68"/>
      <c r="AP91" s="2"/>
      <c r="AQ91" s="78"/>
      <c r="AR91" s="6"/>
      <c r="AS91" s="6"/>
      <c r="AT91" s="6"/>
      <c r="AU91" s="117" t="s">
        <v>239</v>
      </c>
      <c r="AV91" s="65"/>
      <c r="AW91" s="65"/>
      <c r="AX91" s="6"/>
      <c r="AY91" s="99"/>
      <c r="AZ91" s="6"/>
      <c r="BA91" s="6"/>
      <c r="BB91" s="6"/>
      <c r="BC91" s="6"/>
      <c r="BD91" s="6"/>
      <c r="BE91" s="67"/>
      <c r="BI91" s="6"/>
      <c r="BJ91" s="50"/>
      <c r="BK91" s="6"/>
      <c r="BL91" s="6"/>
      <c r="BR91" s="65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</row>
    <row r="92" spans="1:107" ht="15.75" thickBot="1">
      <c r="A92" s="68">
        <v>1655</v>
      </c>
      <c r="B92" s="7" t="s">
        <v>157</v>
      </c>
      <c r="D92" s="6" t="s">
        <v>80</v>
      </c>
      <c r="E92" s="128" t="s">
        <v>158</v>
      </c>
      <c r="F92" s="2" t="s">
        <v>81</v>
      </c>
      <c r="G92" s="2" t="s">
        <v>180</v>
      </c>
      <c r="H92" s="4" t="s">
        <v>17</v>
      </c>
      <c r="I92" s="7" t="s">
        <v>18</v>
      </c>
      <c r="J92" s="7" t="s">
        <v>174</v>
      </c>
      <c r="L92" s="162" t="s">
        <v>205</v>
      </c>
      <c r="M92" s="162" t="s">
        <v>205</v>
      </c>
      <c r="N92" s="162" t="s">
        <v>205</v>
      </c>
      <c r="O92" s="7" t="s">
        <v>109</v>
      </c>
      <c r="P92" s="7">
        <v>7</v>
      </c>
      <c r="Q92" s="68" t="s">
        <v>184</v>
      </c>
      <c r="R92" s="68" t="s">
        <v>16</v>
      </c>
      <c r="T92" s="4">
        <v>1.1399999999999999</v>
      </c>
      <c r="U92" s="4" t="s">
        <v>87</v>
      </c>
      <c r="V92" s="66">
        <f>VLOOKUP(U92,Tables!M$5:O$8,3,FALSE)</f>
        <v>1</v>
      </c>
      <c r="W92" s="66">
        <f t="shared" si="9"/>
        <v>1.1399999999999999</v>
      </c>
      <c r="Y92" s="71" t="str">
        <f>O92</f>
        <v>NOEL</v>
      </c>
      <c r="Z92" s="71">
        <f>VLOOKUP(Y92,Tables!C$5:D$19,2,FALSE)</f>
        <v>1</v>
      </c>
      <c r="AA92" s="72">
        <f>W92/Z92</f>
        <v>1.1399999999999999</v>
      </c>
      <c r="AB92" s="73" t="str">
        <f>R92</f>
        <v>Chronic</v>
      </c>
      <c r="AC92" s="71">
        <f>VLOOKUP(AB92,Tables!C$22:D$23,2,FALSE)</f>
        <v>1</v>
      </c>
      <c r="AD92" s="74">
        <f>AA92/AC92</f>
        <v>1.1399999999999999</v>
      </c>
      <c r="AE92" s="117" t="s">
        <v>239</v>
      </c>
      <c r="AF92" s="131" t="str">
        <f>E92</f>
        <v>Selenastrum capricornutum</v>
      </c>
      <c r="AG92" s="83" t="str">
        <f>O92</f>
        <v>NOEL</v>
      </c>
      <c r="AH92" s="83" t="str">
        <f>R92</f>
        <v>Chronic</v>
      </c>
      <c r="AI92" s="83"/>
      <c r="AJ92" s="71">
        <f>VLOOKUP(SUM(Z92,AC92),Tables!J$5:K$10,2,FALSE)</f>
        <v>1</v>
      </c>
      <c r="AK92" s="63" t="str">
        <f>IF(AJ92=MIN($AJ$89:$AJ$92),"YES!!!","Reject")</f>
        <v>YES!!!</v>
      </c>
      <c r="AL92" s="77" t="str">
        <f>N92</f>
        <v>Biomass yield, growth rate, area under the growth curve</v>
      </c>
      <c r="AM92" s="68" t="s">
        <v>105</v>
      </c>
      <c r="AN92" s="66" t="str">
        <f>CONCATENATE(P92," ",Q92)</f>
        <v>7 Day</v>
      </c>
      <c r="AO92" s="68" t="s">
        <v>106</v>
      </c>
      <c r="AP92" s="106"/>
      <c r="AQ92" s="74">
        <f>AD92</f>
        <v>1.1399999999999999</v>
      </c>
      <c r="AR92" s="77">
        <f>GEOMEAN(AQ92)</f>
        <v>1.1399999999999999</v>
      </c>
      <c r="AS92" s="77">
        <f>MIN(AR92)</f>
        <v>1.1399999999999999</v>
      </c>
      <c r="AT92" s="77">
        <f>MIN(AS92)</f>
        <v>1.1399999999999999</v>
      </c>
      <c r="AU92" s="117" t="s">
        <v>239</v>
      </c>
      <c r="AX92" s="77" t="str">
        <f>H92</f>
        <v>Microalgae</v>
      </c>
      <c r="AY92" s="102" t="str">
        <f>E92</f>
        <v>Selenastrum capricornutum</v>
      </c>
      <c r="AZ92" s="77" t="str">
        <f>F92</f>
        <v>Chlorophyta</v>
      </c>
      <c r="BA92" s="97" t="str">
        <f>G92</f>
        <v>Chlorophyceae</v>
      </c>
      <c r="BB92" s="97" t="str">
        <f>I92</f>
        <v>Phototroph</v>
      </c>
      <c r="BC92" s="86">
        <f>AJ92</f>
        <v>1</v>
      </c>
      <c r="BD92" s="77">
        <f>AT92</f>
        <v>1.1399999999999999</v>
      </c>
      <c r="BE92" s="117" t="s">
        <v>239</v>
      </c>
      <c r="BF92" s="117" t="s">
        <v>239</v>
      </c>
      <c r="BG92" s="112"/>
      <c r="BH92" s="112"/>
      <c r="BI92" s="67"/>
      <c r="BJ92" s="50"/>
      <c r="BM92" s="106"/>
      <c r="BN92" s="106"/>
      <c r="BO92" s="106"/>
      <c r="BP92" s="106"/>
      <c r="BQ92" s="106"/>
      <c r="BR92" s="2"/>
      <c r="BS92" s="106"/>
      <c r="BT92" s="106"/>
      <c r="BU92" s="2"/>
      <c r="BV92" s="2"/>
      <c r="BW92" s="2"/>
      <c r="BX92" s="2"/>
      <c r="BY92" s="2"/>
      <c r="BZ92" s="2"/>
      <c r="CA92" s="2"/>
      <c r="CB92" s="2"/>
      <c r="CC92" s="2"/>
      <c r="CD9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</row>
    <row r="93" spans="1:107" s="65" customFormat="1" ht="16.5" hidden="1" thickTop="1" thickBot="1">
      <c r="A93" s="40"/>
      <c r="B93" s="40"/>
      <c r="C93" s="34"/>
      <c r="D93" s="34"/>
      <c r="E93" s="168"/>
      <c r="F93" s="34"/>
      <c r="G93" s="34"/>
      <c r="H93" s="40"/>
      <c r="I93" s="40"/>
      <c r="J93" s="40"/>
      <c r="K93" s="34"/>
      <c r="L93" s="163"/>
      <c r="M93" s="163"/>
      <c r="N93" s="163"/>
      <c r="O93" s="40"/>
      <c r="P93" s="40"/>
      <c r="Q93" s="40"/>
      <c r="R93" s="40"/>
      <c r="S93" s="40"/>
      <c r="T93" s="40"/>
      <c r="U93" s="40"/>
      <c r="V93" s="70"/>
      <c r="W93" s="70"/>
      <c r="X93" s="34"/>
      <c r="Y93" s="40"/>
      <c r="Z93" s="40"/>
      <c r="AA93" s="70"/>
      <c r="AB93" s="40"/>
      <c r="AC93" s="40"/>
      <c r="AD93" s="70"/>
      <c r="AE93" s="40"/>
      <c r="AF93" s="100"/>
      <c r="AG93" s="81"/>
      <c r="AH93" s="81"/>
      <c r="AI93" s="34"/>
      <c r="AJ93" s="34"/>
      <c r="AK93" s="34"/>
      <c r="AL93" s="34"/>
      <c r="AM93" s="40"/>
      <c r="AN93" s="40"/>
      <c r="AO93" s="40"/>
      <c r="AP93" s="34"/>
      <c r="AQ93" s="70"/>
      <c r="AR93" s="34"/>
      <c r="AS93" s="34"/>
      <c r="AT93" s="34"/>
      <c r="AU93" s="40"/>
      <c r="AV93" s="50"/>
      <c r="AW93" s="50"/>
      <c r="AX93" s="89"/>
      <c r="AY93" s="104"/>
      <c r="AZ93" s="89"/>
      <c r="BA93" s="89"/>
      <c r="BB93" s="89"/>
      <c r="BC93" s="89"/>
      <c r="BD93" s="89"/>
      <c r="BE93" s="89"/>
      <c r="BF93" s="89"/>
      <c r="BG93" s="50"/>
      <c r="BH93" s="50"/>
      <c r="BI93" s="6"/>
      <c r="BJ93" s="50"/>
      <c r="BK93" s="6"/>
      <c r="BL93" s="6"/>
      <c r="BM93" s="106"/>
      <c r="BN93" s="106"/>
      <c r="BO93" s="50"/>
      <c r="BP93" s="50"/>
      <c r="BQ93" s="106"/>
      <c r="BS93" s="106"/>
      <c r="BT93" s="106"/>
      <c r="CD93"/>
    </row>
    <row r="94" spans="1:107" s="67" customFormat="1" ht="30.75" thickTop="1">
      <c r="A94" s="66">
        <v>614</v>
      </c>
      <c r="B94" s="66">
        <v>126</v>
      </c>
      <c r="C94" s="158" t="s">
        <v>247</v>
      </c>
      <c r="D94" s="66" t="s">
        <v>80</v>
      </c>
      <c r="E94" s="108" t="s">
        <v>119</v>
      </c>
      <c r="F94" s="66" t="s">
        <v>81</v>
      </c>
      <c r="G94" s="66" t="s">
        <v>180</v>
      </c>
      <c r="H94" s="66" t="s">
        <v>17</v>
      </c>
      <c r="I94" s="66" t="s">
        <v>18</v>
      </c>
      <c r="J94" s="66" t="s">
        <v>174</v>
      </c>
      <c r="K94" s="66"/>
      <c r="L94" s="162" t="str">
        <f>CONCATENATE(M94, " ", "(", N94, ")")</f>
        <v>Population (Fluoresence)</v>
      </c>
      <c r="M94" s="162" t="s">
        <v>202</v>
      </c>
      <c r="N94" s="152" t="s">
        <v>230</v>
      </c>
      <c r="O94" s="138" t="s">
        <v>15</v>
      </c>
      <c r="P94" s="138">
        <v>4</v>
      </c>
      <c r="Q94" s="138" t="s">
        <v>184</v>
      </c>
      <c r="R94" s="138" t="s">
        <v>16</v>
      </c>
      <c r="S94" s="138"/>
      <c r="T94" s="138">
        <v>11.7</v>
      </c>
      <c r="U94" s="138" t="s">
        <v>87</v>
      </c>
      <c r="V94" s="138">
        <f>VLOOKUP(U94,Tables!M$5:O$8,3,FALSE)</f>
        <v>1</v>
      </c>
      <c r="W94" s="138">
        <f t="shared" si="9"/>
        <v>11.7</v>
      </c>
      <c r="X94" s="138"/>
      <c r="Y94" s="138" t="str">
        <f>O94</f>
        <v>EC50</v>
      </c>
      <c r="Z94" s="138">
        <f>VLOOKUP(Y94,Tables!C$5:D$19,2,FALSE)</f>
        <v>5</v>
      </c>
      <c r="AA94" s="138">
        <f>W94/Z94</f>
        <v>2.34</v>
      </c>
      <c r="AB94" s="138" t="str">
        <f>R94</f>
        <v>Chronic</v>
      </c>
      <c r="AC94" s="138">
        <f>VLOOKUP(AB94,Tables!C$22:D$23,2,FALSE)</f>
        <v>1</v>
      </c>
      <c r="AD94" s="138">
        <f>AA94/AC94</f>
        <v>2.34</v>
      </c>
      <c r="AE94" s="117" t="s">
        <v>239</v>
      </c>
      <c r="AF94" s="151" t="str">
        <f>E94</f>
        <v>Scenedesmus obliquus</v>
      </c>
      <c r="AG94" s="138" t="str">
        <f>O94</f>
        <v>EC50</v>
      </c>
      <c r="AH94" s="138" t="str">
        <f>R94</f>
        <v>Chronic</v>
      </c>
      <c r="AI94" s="138"/>
      <c r="AJ94" s="138">
        <f>VLOOKUP(SUM(Z94,AC94),Tables!J$5:K$10,2,FALSE)</f>
        <v>2</v>
      </c>
      <c r="AK94" s="138" t="str">
        <f>IF(AJ94=MIN($AJ$94),"YES!!!","Reject")</f>
        <v>YES!!!</v>
      </c>
      <c r="AL94" s="138"/>
      <c r="AM94" s="138"/>
      <c r="AN94" s="138"/>
      <c r="AO94" s="138"/>
      <c r="AP94" s="138"/>
      <c r="AQ94" s="138"/>
      <c r="AR94" s="138"/>
      <c r="AS94" s="138"/>
      <c r="AT94" s="138"/>
      <c r="AU94" s="117" t="s">
        <v>239</v>
      </c>
      <c r="AV94" s="65"/>
      <c r="AW94" s="65"/>
      <c r="AX94" s="101"/>
      <c r="AY94" s="103"/>
      <c r="AZ94" s="101"/>
      <c r="BA94" s="101"/>
      <c r="BB94" s="101"/>
      <c r="BC94" s="101"/>
      <c r="BD94" s="101"/>
      <c r="BE94" s="105"/>
      <c r="BF94" s="105"/>
      <c r="BG94" s="105"/>
      <c r="BH94" s="105"/>
      <c r="BJ94" s="50"/>
      <c r="BK94" s="6"/>
      <c r="BL94" s="6"/>
      <c r="BM94" s="106"/>
      <c r="BN94" s="106"/>
      <c r="BO94" s="50"/>
      <c r="BP94" s="50"/>
      <c r="BQ94" s="106"/>
      <c r="BR94" s="2"/>
      <c r="BS94" s="106"/>
      <c r="BT94" s="106"/>
      <c r="BU94" s="65"/>
      <c r="BV94" s="65"/>
      <c r="BW94" s="65"/>
      <c r="BX94" s="65"/>
      <c r="BY94" s="65"/>
      <c r="BZ94" s="65"/>
      <c r="CA94" s="65"/>
      <c r="CB94" s="65"/>
      <c r="CC94" s="65"/>
      <c r="CD94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65"/>
      <c r="CR94" s="65"/>
      <c r="CS94" s="65"/>
      <c r="CT94" s="65"/>
      <c r="CU94" s="65"/>
      <c r="CV94" s="65"/>
      <c r="CW94" s="65"/>
      <c r="CX94" s="65"/>
      <c r="CY94" s="65"/>
      <c r="CZ94" s="65"/>
      <c r="DA94" s="65"/>
      <c r="DB94" s="65"/>
      <c r="DC94" s="65"/>
    </row>
    <row r="95" spans="1:107" ht="16.5" hidden="1" thickTop="1" thickBot="1">
      <c r="A95" s="40"/>
      <c r="B95" s="40"/>
      <c r="C95" s="34"/>
      <c r="D95" s="34"/>
      <c r="E95" s="168"/>
      <c r="F95" s="34"/>
      <c r="G95" s="34"/>
      <c r="H95" s="40"/>
      <c r="I95" s="40"/>
      <c r="J95" s="40"/>
      <c r="K95" s="34"/>
      <c r="L95" s="163"/>
      <c r="M95" s="163"/>
      <c r="N95" s="163"/>
      <c r="O95" s="40"/>
      <c r="P95" s="40"/>
      <c r="Q95" s="40"/>
      <c r="R95" s="40"/>
      <c r="S95" s="40"/>
      <c r="T95" s="40"/>
      <c r="U95" s="40"/>
      <c r="V95" s="70"/>
      <c r="W95" s="70"/>
      <c r="X95" s="34"/>
      <c r="Y95" s="40"/>
      <c r="Z95" s="40"/>
      <c r="AA95" s="70"/>
      <c r="AB95" s="40"/>
      <c r="AC95" s="40"/>
      <c r="AD95" s="70"/>
      <c r="AE95" s="40"/>
      <c r="AF95" s="100"/>
      <c r="AG95" s="81"/>
      <c r="AH95" s="81"/>
      <c r="AI95" s="34"/>
      <c r="AJ95" s="34"/>
      <c r="AK95" s="34"/>
      <c r="AL95" s="34"/>
      <c r="AM95" s="40"/>
      <c r="AN95" s="40"/>
      <c r="AO95" s="40"/>
      <c r="AP95" s="34"/>
      <c r="AQ95" s="70"/>
      <c r="AR95" s="34"/>
      <c r="AS95" s="34"/>
      <c r="AT95" s="34"/>
      <c r="AU95" s="40"/>
      <c r="AV95" s="50"/>
      <c r="AW95" s="50"/>
      <c r="AX95" s="90"/>
      <c r="AY95" s="100"/>
      <c r="AZ95" s="34"/>
      <c r="BA95" s="34"/>
      <c r="BB95" s="34"/>
      <c r="BC95" s="34"/>
      <c r="BD95" s="34"/>
      <c r="BE95" s="89"/>
      <c r="BF95" s="89"/>
      <c r="BG95" s="50"/>
      <c r="BH95" s="50"/>
      <c r="BJ95" s="50"/>
      <c r="BM95" s="106"/>
      <c r="BN95" s="106"/>
      <c r="BO95" s="96"/>
      <c r="BP95" s="87"/>
      <c r="BQ95" s="106"/>
      <c r="BR95" s="65"/>
      <c r="BS95" s="106"/>
      <c r="BT95" s="106"/>
      <c r="BU95" s="2"/>
      <c r="BV95" s="2"/>
      <c r="BW95" s="2"/>
      <c r="BX95" s="2"/>
      <c r="BY95" s="2"/>
      <c r="BZ95" s="2"/>
      <c r="CA95" s="2"/>
      <c r="CB95" s="2"/>
      <c r="CC95" s="2"/>
      <c r="CD95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</row>
    <row r="96" spans="1:107" s="67" customFormat="1">
      <c r="A96" s="68">
        <v>615</v>
      </c>
      <c r="B96" s="7">
        <v>129</v>
      </c>
      <c r="C96" s="2"/>
      <c r="D96" s="6" t="s">
        <v>80</v>
      </c>
      <c r="E96" s="128" t="s">
        <v>120</v>
      </c>
      <c r="F96" s="67" t="s">
        <v>81</v>
      </c>
      <c r="G96" s="67" t="s">
        <v>180</v>
      </c>
      <c r="H96" s="4" t="s">
        <v>17</v>
      </c>
      <c r="I96" s="7" t="s">
        <v>18</v>
      </c>
      <c r="J96" s="7" t="s">
        <v>174</v>
      </c>
      <c r="K96" s="2"/>
      <c r="L96" s="162" t="s">
        <v>220</v>
      </c>
      <c r="M96" s="162" t="s">
        <v>202</v>
      </c>
      <c r="N96" s="162" t="s">
        <v>204</v>
      </c>
      <c r="O96" s="66" t="s">
        <v>15</v>
      </c>
      <c r="P96" s="78">
        <v>96</v>
      </c>
      <c r="Q96" s="7" t="s">
        <v>89</v>
      </c>
      <c r="R96" s="68" t="s">
        <v>16</v>
      </c>
      <c r="S96" s="4"/>
      <c r="T96" s="82">
        <v>150</v>
      </c>
      <c r="U96" s="4" t="s">
        <v>62</v>
      </c>
      <c r="V96" s="66">
        <f>VLOOKUP(U96,Tables!M$5:O$8,3,FALSE)</f>
        <v>1</v>
      </c>
      <c r="W96" s="66">
        <f t="shared" si="9"/>
        <v>150</v>
      </c>
      <c r="X96" s="6"/>
      <c r="Y96" s="71" t="str">
        <f>O96</f>
        <v>EC50</v>
      </c>
      <c r="Z96" s="71">
        <f>VLOOKUP(Y96,Tables!C$5:D$19,2,FALSE)</f>
        <v>5</v>
      </c>
      <c r="AA96" s="72">
        <f>W96/Z96</f>
        <v>30</v>
      </c>
      <c r="AB96" s="73" t="str">
        <f>R96</f>
        <v>Chronic</v>
      </c>
      <c r="AC96" s="71">
        <f>VLOOKUP(AB96,Tables!C$22:D$23,2,FALSE)</f>
        <v>1</v>
      </c>
      <c r="AD96" s="74">
        <f>AA96/AC96</f>
        <v>30</v>
      </c>
      <c r="AE96" s="117" t="s">
        <v>239</v>
      </c>
      <c r="AF96" s="131" t="str">
        <f>E96</f>
        <v>Scenedesmus quadricauda</v>
      </c>
      <c r="AG96" s="83" t="str">
        <f>O96</f>
        <v>EC50</v>
      </c>
      <c r="AH96" s="83" t="str">
        <f>R96</f>
        <v>Chronic</v>
      </c>
      <c r="AI96" s="83"/>
      <c r="AJ96" s="71">
        <f>VLOOKUP(SUM(Z96,AC96),Tables!J$5:K$10,2,FALSE)</f>
        <v>2</v>
      </c>
      <c r="AK96" s="63" t="str">
        <f>IF(AJ96=MIN($AJ$96),"YES!!!","Reject")</f>
        <v>YES!!!</v>
      </c>
      <c r="AL96" s="77" t="str">
        <f>N96</f>
        <v>Abundance</v>
      </c>
      <c r="AM96" s="68" t="s">
        <v>105</v>
      </c>
      <c r="AN96" s="66" t="str">
        <f>CONCATENATE(P96," ",Q96)</f>
        <v>96 Hour</v>
      </c>
      <c r="AO96" s="68" t="s">
        <v>106</v>
      </c>
      <c r="AP96" s="106"/>
      <c r="AQ96" s="74">
        <f>AD96</f>
        <v>30</v>
      </c>
      <c r="AR96" s="77">
        <f>GEOMEAN(AQ96)</f>
        <v>30</v>
      </c>
      <c r="AS96" s="77">
        <f>MIN(AR96)</f>
        <v>30</v>
      </c>
      <c r="AT96" s="77">
        <f>MIN(AS96)</f>
        <v>30</v>
      </c>
      <c r="AU96" s="117" t="s">
        <v>239</v>
      </c>
      <c r="AV96" s="65"/>
      <c r="AW96" s="65"/>
      <c r="AX96" s="77" t="str">
        <f>H96</f>
        <v>Microalgae</v>
      </c>
      <c r="AY96" s="102" t="str">
        <f>E96</f>
        <v>Scenedesmus quadricauda</v>
      </c>
      <c r="AZ96" s="77" t="str">
        <f>F96</f>
        <v>Chlorophyta</v>
      </c>
      <c r="BA96" s="97" t="str">
        <f>G96</f>
        <v>Chlorophyceae</v>
      </c>
      <c r="BB96" s="97" t="str">
        <f>I96</f>
        <v>Phototroph</v>
      </c>
      <c r="BC96" s="86">
        <f>AJ96</f>
        <v>2</v>
      </c>
      <c r="BD96" s="77">
        <f>AT96</f>
        <v>30</v>
      </c>
      <c r="BE96" s="117" t="s">
        <v>239</v>
      </c>
      <c r="BF96" s="117" t="s">
        <v>239</v>
      </c>
      <c r="BG96" s="112"/>
      <c r="BH96" s="112"/>
      <c r="BJ96" s="50"/>
      <c r="BK96" s="6"/>
      <c r="BL96" s="6"/>
      <c r="BM96" s="106"/>
      <c r="BN96" s="106"/>
      <c r="BO96" s="50"/>
      <c r="BP96" s="50"/>
      <c r="BQ96" s="106"/>
      <c r="BR96" s="6"/>
      <c r="BS96" s="106"/>
      <c r="BT96" s="106"/>
      <c r="BU96" s="65"/>
      <c r="BV96" s="65"/>
      <c r="BW96" s="65"/>
      <c r="BX96" s="65"/>
      <c r="BY96" s="65"/>
      <c r="BZ96" s="65"/>
      <c r="CA96" s="65"/>
      <c r="CB96" s="65"/>
      <c r="CC96" s="65"/>
      <c r="CD96"/>
      <c r="CE96" s="65"/>
      <c r="CF96" s="65"/>
      <c r="CG96" s="65"/>
      <c r="CH96" s="65"/>
      <c r="CI96" s="65"/>
      <c r="CJ96" s="65"/>
      <c r="CK96" s="65"/>
      <c r="CL96" s="65"/>
      <c r="CM96" s="65"/>
      <c r="CN96" s="65"/>
      <c r="CO96" s="65"/>
      <c r="CP96" s="65"/>
      <c r="CQ96" s="65"/>
      <c r="CR96" s="65"/>
      <c r="CS96" s="65"/>
      <c r="CT96" s="65"/>
      <c r="CU96" s="65"/>
      <c r="CV96" s="65"/>
      <c r="CW96" s="65"/>
      <c r="CX96" s="65"/>
      <c r="CY96" s="65"/>
      <c r="CZ96" s="65"/>
      <c r="DA96" s="65"/>
      <c r="DB96" s="65"/>
      <c r="DC96" s="65"/>
    </row>
    <row r="97" spans="1:107" ht="16.5" hidden="1" thickTop="1" thickBot="1">
      <c r="A97" s="40"/>
      <c r="B97" s="40"/>
      <c r="C97" s="34"/>
      <c r="D97" s="34"/>
      <c r="E97" s="168"/>
      <c r="F97" s="34"/>
      <c r="G97" s="34"/>
      <c r="H97" s="40"/>
      <c r="I97" s="40"/>
      <c r="J97" s="40"/>
      <c r="K97" s="34"/>
      <c r="L97" s="163"/>
      <c r="M97" s="163"/>
      <c r="N97" s="163"/>
      <c r="O97" s="40"/>
      <c r="P97" s="40"/>
      <c r="Q97" s="40"/>
      <c r="R97" s="40"/>
      <c r="S97" s="40"/>
      <c r="T97" s="40"/>
      <c r="U97" s="40"/>
      <c r="V97" s="70"/>
      <c r="W97" s="70"/>
      <c r="X97" s="34"/>
      <c r="Y97" s="40"/>
      <c r="Z97" s="40"/>
      <c r="AA97" s="70"/>
      <c r="AB97" s="40"/>
      <c r="AC97" s="40"/>
      <c r="AD97" s="70"/>
      <c r="AE97" s="40"/>
      <c r="AF97" s="100"/>
      <c r="AG97" s="81"/>
      <c r="AH97" s="81"/>
      <c r="AI97" s="34"/>
      <c r="AJ97" s="34"/>
      <c r="AK97" s="34"/>
      <c r="AL97" s="34"/>
      <c r="AM97" s="40"/>
      <c r="AN97" s="40"/>
      <c r="AO97" s="40"/>
      <c r="AP97" s="34"/>
      <c r="AQ97" s="70"/>
      <c r="AR97" s="34"/>
      <c r="AS97" s="34"/>
      <c r="AT97" s="34"/>
      <c r="AU97" s="40"/>
      <c r="AV97" s="50"/>
      <c r="AW97" s="50"/>
      <c r="AX97" s="90"/>
      <c r="AY97" s="100"/>
      <c r="AZ97" s="34"/>
      <c r="BA97" s="34"/>
      <c r="BB97" s="34"/>
      <c r="BC97" s="34"/>
      <c r="BD97" s="34"/>
      <c r="BE97" s="89"/>
      <c r="BF97" s="89"/>
      <c r="BG97" s="50"/>
      <c r="BH97" s="50"/>
      <c r="BI97" s="67"/>
      <c r="BJ97" s="87"/>
      <c r="BM97" s="106"/>
      <c r="BN97" s="106"/>
      <c r="BO97" s="106"/>
      <c r="BP97" s="106"/>
      <c r="BQ97" s="106"/>
      <c r="BR97" s="67"/>
      <c r="BS97" s="106"/>
      <c r="BT97" s="106"/>
      <c r="BU97" s="2"/>
      <c r="BV97" s="2"/>
      <c r="BW97" s="2"/>
      <c r="BX97" s="2"/>
      <c r="BY97" s="2"/>
      <c r="BZ97" s="2"/>
      <c r="CA97" s="2"/>
      <c r="CB97" s="2"/>
      <c r="CC97" s="2"/>
      <c r="CD97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</row>
    <row r="98" spans="1:107" s="67" customFormat="1" ht="30.75" hidden="1" thickTop="1">
      <c r="A98" s="66">
        <v>665</v>
      </c>
      <c r="B98" s="66">
        <v>1301</v>
      </c>
      <c r="C98" s="158" t="s">
        <v>247</v>
      </c>
      <c r="D98" s="66" t="s">
        <v>112</v>
      </c>
      <c r="E98" s="108" t="s">
        <v>111</v>
      </c>
      <c r="F98" s="66" t="s">
        <v>200</v>
      </c>
      <c r="G98" s="66" t="s">
        <v>201</v>
      </c>
      <c r="H98" s="66" t="s">
        <v>222</v>
      </c>
      <c r="I98" s="66" t="s">
        <v>18</v>
      </c>
      <c r="J98" s="66" t="s">
        <v>174</v>
      </c>
      <c r="K98" s="66"/>
      <c r="L98" s="162" t="str">
        <f>CONCATENATE(M98, " ", "(", N98, ")")</f>
        <v>Physiology (Fluoresence)</v>
      </c>
      <c r="M98" s="162" t="s">
        <v>203</v>
      </c>
      <c r="N98" s="152" t="s">
        <v>230</v>
      </c>
      <c r="O98" s="138" t="s">
        <v>15</v>
      </c>
      <c r="P98" s="138">
        <v>0.42</v>
      </c>
      <c r="Q98" s="138" t="s">
        <v>184</v>
      </c>
      <c r="R98" s="138" t="s">
        <v>48</v>
      </c>
      <c r="S98" s="138"/>
      <c r="T98" s="138">
        <v>1.7</v>
      </c>
      <c r="U98" s="138" t="s">
        <v>62</v>
      </c>
      <c r="V98" s="138">
        <f>VLOOKUP(U98,Tables!M$5:O$8,3,FALSE)</f>
        <v>1</v>
      </c>
      <c r="W98" s="138">
        <f t="shared" si="9"/>
        <v>1.7</v>
      </c>
      <c r="X98" s="138"/>
      <c r="Y98" s="138" t="str">
        <f>O98</f>
        <v>EC50</v>
      </c>
      <c r="Z98" s="138">
        <f>VLOOKUP(Y98,Tables!C$5:D$19,2,FALSE)</f>
        <v>5</v>
      </c>
      <c r="AA98" s="138">
        <f>W98/Z98</f>
        <v>0.33999999999999997</v>
      </c>
      <c r="AB98" s="138" t="str">
        <f>R98</f>
        <v>Acute</v>
      </c>
      <c r="AC98" s="138">
        <f>VLOOKUP(AB98,Tables!C$22:D$23,2,FALSE)</f>
        <v>2</v>
      </c>
      <c r="AD98" s="138">
        <f>AA98/AC98</f>
        <v>0.16999999999999998</v>
      </c>
      <c r="AE98" s="117" t="s">
        <v>239</v>
      </c>
      <c r="AF98" s="151" t="str">
        <f>E98</f>
        <v>Seriatopora hystrix</v>
      </c>
      <c r="AG98" s="151" t="str">
        <f>O98</f>
        <v>EC50</v>
      </c>
      <c r="AH98" s="151" t="str">
        <f>R98</f>
        <v>Acute</v>
      </c>
      <c r="AI98" s="151"/>
      <c r="AJ98" s="151">
        <f>VLOOKUP(SUM(Z98,AC98),Tables!J$5:K$10,2,FALSE)</f>
        <v>4</v>
      </c>
      <c r="AK98" s="151" t="str">
        <f>IF(AJ98=MIN($AJ$98:$AJ$100),"YES!!!","Reject")</f>
        <v>YES!!!</v>
      </c>
      <c r="AL98" s="151"/>
      <c r="AM98" s="151"/>
      <c r="AN98" s="151"/>
      <c r="AO98" s="151"/>
      <c r="AP98" s="151"/>
      <c r="AQ98" s="151"/>
      <c r="AR98" s="151"/>
      <c r="AS98" s="151"/>
      <c r="AT98" s="151"/>
      <c r="AU98" s="117" t="s">
        <v>239</v>
      </c>
      <c r="AV98" s="65"/>
      <c r="AW98" s="65"/>
      <c r="AX98" s="101"/>
      <c r="AY98" s="103"/>
      <c r="AZ98" s="101"/>
      <c r="BA98" s="101"/>
      <c r="BB98" s="101"/>
      <c r="BC98" s="101"/>
      <c r="BD98" s="101"/>
      <c r="BE98" s="105"/>
      <c r="BF98" s="105"/>
      <c r="BG98" s="105"/>
      <c r="BH98" s="105"/>
      <c r="BJ98" s="106"/>
      <c r="BK98" s="6"/>
      <c r="BL98" s="6"/>
      <c r="BM98" s="106"/>
      <c r="BN98" s="106"/>
      <c r="BO98" s="50"/>
      <c r="BP98" s="50"/>
      <c r="BQ98" s="106"/>
      <c r="BT98" s="106"/>
      <c r="BU98" s="65"/>
      <c r="BV98" s="65"/>
      <c r="BW98" s="65"/>
      <c r="BX98" s="65"/>
      <c r="BY98" s="65"/>
      <c r="BZ98" s="65"/>
      <c r="CA98" s="65"/>
      <c r="CB98" s="65"/>
      <c r="CC98" s="65"/>
      <c r="CD98"/>
      <c r="CE98" s="65"/>
      <c r="CF98" s="65"/>
      <c r="CG98" s="65"/>
      <c r="CH98" s="65"/>
      <c r="CI98" s="65"/>
      <c r="CJ98" s="65"/>
      <c r="CK98" s="65"/>
      <c r="CL98" s="65"/>
      <c r="CM98" s="65"/>
      <c r="CN98" s="65"/>
      <c r="CO98" s="65"/>
      <c r="CP98" s="65"/>
      <c r="CQ98" s="65"/>
      <c r="CR98" s="65"/>
      <c r="CS98" s="65"/>
      <c r="CT98" s="65"/>
      <c r="CU98" s="65"/>
      <c r="CV98" s="65"/>
      <c r="CW98" s="65"/>
      <c r="CX98" s="65"/>
      <c r="CY98" s="65"/>
      <c r="CZ98" s="65"/>
      <c r="DA98" s="65"/>
      <c r="DB98" s="65"/>
      <c r="DC98" s="65"/>
    </row>
    <row r="99" spans="1:107" ht="31.5" hidden="1" customHeight="1">
      <c r="A99" s="66">
        <v>665</v>
      </c>
      <c r="B99" s="66">
        <v>1350</v>
      </c>
      <c r="C99" s="158" t="s">
        <v>247</v>
      </c>
      <c r="D99" s="66" t="s">
        <v>112</v>
      </c>
      <c r="E99" s="108" t="s">
        <v>111</v>
      </c>
      <c r="F99" s="66" t="s">
        <v>200</v>
      </c>
      <c r="G99" s="66" t="s">
        <v>201</v>
      </c>
      <c r="H99" s="66" t="s">
        <v>222</v>
      </c>
      <c r="I99" s="66" t="s">
        <v>18</v>
      </c>
      <c r="J99" s="66" t="s">
        <v>174</v>
      </c>
      <c r="K99" s="66"/>
      <c r="L99" s="162" t="str">
        <f>CONCATENATE(M99, " ", "(", N99, ")")</f>
        <v>Physiology (Fluoresence)</v>
      </c>
      <c r="M99" s="162" t="s">
        <v>203</v>
      </c>
      <c r="N99" s="152" t="s">
        <v>230</v>
      </c>
      <c r="O99" s="138" t="s">
        <v>165</v>
      </c>
      <c r="P99" s="138">
        <v>0.42</v>
      </c>
      <c r="Q99" s="138" t="s">
        <v>184</v>
      </c>
      <c r="R99" s="138" t="s">
        <v>48</v>
      </c>
      <c r="S99" s="138"/>
      <c r="T99" s="138">
        <v>0.71</v>
      </c>
      <c r="U99" s="138" t="s">
        <v>62</v>
      </c>
      <c r="V99" s="138">
        <f>VLOOKUP(U99,Tables!M$5:O$8,3,FALSE)</f>
        <v>1</v>
      </c>
      <c r="W99" s="138">
        <f t="shared" si="9"/>
        <v>0.71</v>
      </c>
      <c r="X99" s="138"/>
      <c r="Y99" s="138" t="str">
        <f>O99</f>
        <v>EC25</v>
      </c>
      <c r="Z99" s="138">
        <f>VLOOKUP(Y99,Tables!C$5:D$19,2,FALSE)</f>
        <v>2.5</v>
      </c>
      <c r="AA99" s="138">
        <f>W99/Z99</f>
        <v>0.28399999999999997</v>
      </c>
      <c r="AB99" s="138" t="str">
        <f>R99</f>
        <v>Acute</v>
      </c>
      <c r="AC99" s="138">
        <f>VLOOKUP(AB99,Tables!C$22:D$23,2,FALSE)</f>
        <v>2</v>
      </c>
      <c r="AD99" s="138">
        <f>AA99/AC99</f>
        <v>0.14199999999999999</v>
      </c>
      <c r="AE99" s="117" t="s">
        <v>239</v>
      </c>
      <c r="AF99" s="151" t="str">
        <f>E99</f>
        <v>Seriatopora hystrix</v>
      </c>
      <c r="AG99" s="151" t="str">
        <f>O99</f>
        <v>EC25</v>
      </c>
      <c r="AH99" s="151" t="str">
        <f>R99</f>
        <v>Acute</v>
      </c>
      <c r="AI99" s="151"/>
      <c r="AJ99" s="151" t="str">
        <f>VLOOKUP(SUM(Z99,AC99),Tables!J$5:K$10,2,FALSE)</f>
        <v>Do Not Use</v>
      </c>
      <c r="AK99" s="151" t="str">
        <f>IF(AJ99=MIN($AJ$98:$AJ$100),"YES!!!","Reject")</f>
        <v>Reject</v>
      </c>
      <c r="AL99" s="151"/>
      <c r="AM99" s="151"/>
      <c r="AN99" s="151"/>
      <c r="AO99" s="151"/>
      <c r="AP99" s="151"/>
      <c r="AQ99" s="151"/>
      <c r="AR99" s="151"/>
      <c r="AS99" s="151"/>
      <c r="AT99" s="151"/>
      <c r="AU99" s="117" t="s">
        <v>239</v>
      </c>
      <c r="AY99" s="99"/>
      <c r="BI99" s="67"/>
      <c r="BJ99" s="106"/>
      <c r="BM99" s="106"/>
      <c r="BN99" s="106"/>
      <c r="BO99" s="96"/>
      <c r="BP99" s="87"/>
      <c r="BQ99" s="106"/>
      <c r="BR99" s="67"/>
      <c r="CD99"/>
    </row>
    <row r="100" spans="1:107" s="67" customFormat="1" ht="30" hidden="1">
      <c r="A100" s="66">
        <v>665</v>
      </c>
      <c r="B100" s="66">
        <v>1351</v>
      </c>
      <c r="C100" s="158" t="s">
        <v>247</v>
      </c>
      <c r="D100" s="66" t="s">
        <v>112</v>
      </c>
      <c r="E100" s="108" t="s">
        <v>111</v>
      </c>
      <c r="F100" s="66" t="s">
        <v>200</v>
      </c>
      <c r="G100" s="66" t="s">
        <v>201</v>
      </c>
      <c r="H100" s="66" t="s">
        <v>222</v>
      </c>
      <c r="I100" s="66" t="s">
        <v>18</v>
      </c>
      <c r="J100" s="66" t="s">
        <v>174</v>
      </c>
      <c r="K100" s="66"/>
      <c r="L100" s="162" t="str">
        <f>CONCATENATE(M100, " ", "(", N100, ")")</f>
        <v>Physiology (Fluoresence)</v>
      </c>
      <c r="M100" s="162" t="s">
        <v>203</v>
      </c>
      <c r="N100" s="152" t="s">
        <v>230</v>
      </c>
      <c r="O100" s="138" t="s">
        <v>22</v>
      </c>
      <c r="P100" s="138">
        <v>0.42</v>
      </c>
      <c r="Q100" s="138" t="s">
        <v>184</v>
      </c>
      <c r="R100" s="138" t="s">
        <v>48</v>
      </c>
      <c r="S100" s="138"/>
      <c r="T100" s="138">
        <v>0.3</v>
      </c>
      <c r="U100" s="138" t="s">
        <v>62</v>
      </c>
      <c r="V100" s="138">
        <f>VLOOKUP(U100,Tables!M$5:O$8,3,FALSE)</f>
        <v>1</v>
      </c>
      <c r="W100" s="138">
        <f t="shared" si="9"/>
        <v>0.3</v>
      </c>
      <c r="X100" s="138"/>
      <c r="Y100" s="138" t="str">
        <f>O100</f>
        <v>LOEC</v>
      </c>
      <c r="Z100" s="138">
        <f>VLOOKUP(Y100,Tables!C$5:D$19,2,FALSE)</f>
        <v>2.5</v>
      </c>
      <c r="AA100" s="138">
        <f>W100/Z100</f>
        <v>0.12</v>
      </c>
      <c r="AB100" s="138" t="str">
        <f>R100</f>
        <v>Acute</v>
      </c>
      <c r="AC100" s="138">
        <f>VLOOKUP(AB100,Tables!C$22:D$23,2,FALSE)</f>
        <v>2</v>
      </c>
      <c r="AD100" s="138">
        <f>AA100/AC100</f>
        <v>0.06</v>
      </c>
      <c r="AE100" s="117" t="s">
        <v>239</v>
      </c>
      <c r="AF100" s="151" t="str">
        <f>E100</f>
        <v>Seriatopora hystrix</v>
      </c>
      <c r="AG100" s="151" t="str">
        <f>O100</f>
        <v>LOEC</v>
      </c>
      <c r="AH100" s="151" t="str">
        <f>R100</f>
        <v>Acute</v>
      </c>
      <c r="AI100" s="151"/>
      <c r="AJ100" s="151" t="str">
        <f>VLOOKUP(SUM(Z100,AC100),Tables!J$5:K$10,2,FALSE)</f>
        <v>Do Not Use</v>
      </c>
      <c r="AK100" s="151" t="str">
        <f>IF(AJ100=MIN($AJ$98:$AJ$100),"YES!!!","Reject")</f>
        <v>Reject</v>
      </c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17" t="s">
        <v>239</v>
      </c>
      <c r="AV100" s="65"/>
      <c r="AW100" s="65"/>
      <c r="AX100" s="6"/>
      <c r="AY100" s="99"/>
      <c r="AZ100" s="6"/>
      <c r="BA100" s="6"/>
      <c r="BB100" s="6"/>
      <c r="BC100" s="6"/>
      <c r="BD100" s="6"/>
      <c r="BF100" s="106"/>
      <c r="BG100" s="106"/>
      <c r="BH100" s="106"/>
      <c r="BJ100" s="106"/>
      <c r="BK100" s="6"/>
      <c r="BL100" s="6"/>
      <c r="BM100" s="106"/>
      <c r="BN100" s="106"/>
      <c r="BO100" s="106"/>
      <c r="BP100" s="106"/>
      <c r="BQ100" s="106"/>
      <c r="CD100"/>
    </row>
    <row r="101" spans="1:107" s="67" customFormat="1" ht="16.5" hidden="1" thickTop="1" thickBot="1">
      <c r="A101" s="40"/>
      <c r="B101" s="40"/>
      <c r="C101" s="34"/>
      <c r="D101" s="34"/>
      <c r="E101" s="168"/>
      <c r="F101" s="34"/>
      <c r="G101" s="34"/>
      <c r="H101" s="40"/>
      <c r="I101" s="40"/>
      <c r="J101" s="40"/>
      <c r="K101" s="34"/>
      <c r="L101" s="163"/>
      <c r="M101" s="163"/>
      <c r="N101" s="163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100"/>
      <c r="AG101" s="81"/>
      <c r="AH101" s="81"/>
      <c r="AI101" s="34"/>
      <c r="AJ101" s="34"/>
      <c r="AK101" s="34"/>
      <c r="AL101" s="34"/>
      <c r="AM101" s="40"/>
      <c r="AN101" s="40"/>
      <c r="AO101" s="40"/>
      <c r="AP101" s="34"/>
      <c r="AQ101" s="70"/>
      <c r="AR101" s="34"/>
      <c r="AS101" s="34"/>
      <c r="AT101" s="34"/>
      <c r="AU101" s="40"/>
      <c r="AV101" s="50"/>
      <c r="AW101" s="50"/>
      <c r="AX101" s="90"/>
      <c r="AY101" s="100"/>
      <c r="AZ101" s="34"/>
      <c r="BA101" s="34"/>
      <c r="BB101" s="34"/>
      <c r="BC101" s="34"/>
      <c r="BD101" s="34"/>
      <c r="BE101" s="89"/>
      <c r="BF101" s="89"/>
      <c r="BG101" s="50"/>
      <c r="BH101" s="50"/>
      <c r="BJ101" s="50"/>
      <c r="BK101" s="6"/>
      <c r="BL101" s="6"/>
      <c r="BM101" s="106"/>
      <c r="BN101" s="106"/>
      <c r="BO101" s="106"/>
      <c r="BP101" s="106"/>
      <c r="BQ101" s="106"/>
      <c r="CD101"/>
    </row>
    <row r="102" spans="1:107" s="67" customFormat="1" ht="15.75" thickBot="1">
      <c r="A102" s="68">
        <v>1645</v>
      </c>
      <c r="B102" s="7" t="s">
        <v>138</v>
      </c>
      <c r="C102" s="2"/>
      <c r="D102" s="6" t="s">
        <v>80</v>
      </c>
      <c r="E102" s="128" t="s">
        <v>150</v>
      </c>
      <c r="F102" s="2" t="s">
        <v>185</v>
      </c>
      <c r="G102" s="2" t="s">
        <v>186</v>
      </c>
      <c r="H102" s="4" t="s">
        <v>17</v>
      </c>
      <c r="I102" s="7" t="s">
        <v>18</v>
      </c>
      <c r="J102" s="7" t="s">
        <v>174</v>
      </c>
      <c r="K102" s="2"/>
      <c r="L102" s="162" t="s">
        <v>205</v>
      </c>
      <c r="M102" s="162" t="s">
        <v>205</v>
      </c>
      <c r="N102" s="162" t="s">
        <v>205</v>
      </c>
      <c r="O102" s="7" t="s">
        <v>15</v>
      </c>
      <c r="P102" s="7">
        <v>72</v>
      </c>
      <c r="Q102" s="66" t="s">
        <v>89</v>
      </c>
      <c r="R102" s="66" t="s">
        <v>16</v>
      </c>
      <c r="S102" s="4"/>
      <c r="T102" s="82">
        <v>26</v>
      </c>
      <c r="U102" s="4" t="s">
        <v>87</v>
      </c>
      <c r="V102" s="66">
        <f>VLOOKUP(U102,Tables!M$5:O$8,3,FALSE)</f>
        <v>1</v>
      </c>
      <c r="W102" s="66">
        <f t="shared" si="9"/>
        <v>26</v>
      </c>
      <c r="X102" s="6"/>
      <c r="Y102" s="71" t="str">
        <f>O102</f>
        <v>EC50</v>
      </c>
      <c r="Z102" s="71">
        <f>VLOOKUP(Y102,Tables!C$5:D$19,2,FALSE)</f>
        <v>5</v>
      </c>
      <c r="AA102" s="72">
        <f>W102/Z102</f>
        <v>5.2</v>
      </c>
      <c r="AB102" s="73" t="str">
        <f>R102</f>
        <v>Chronic</v>
      </c>
      <c r="AC102" s="71">
        <f>VLOOKUP(AB102,Tables!C$22:D$23,2,FALSE)</f>
        <v>1</v>
      </c>
      <c r="AD102" s="74">
        <f>AA102/AC102</f>
        <v>5.2</v>
      </c>
      <c r="AE102" s="117" t="s">
        <v>239</v>
      </c>
      <c r="AF102" s="131" t="str">
        <f>E102</f>
        <v>Stauroneis amphoroides</v>
      </c>
      <c r="AG102" s="83" t="str">
        <f>O102</f>
        <v>EC50</v>
      </c>
      <c r="AH102" s="83" t="str">
        <f>R102</f>
        <v>Chronic</v>
      </c>
      <c r="AI102" s="83"/>
      <c r="AJ102" s="71">
        <f>VLOOKUP(SUM(Z102,AC102),Tables!J$5:K$10,2,FALSE)</f>
        <v>2</v>
      </c>
      <c r="AK102" s="63" t="str">
        <f>IF(AJ102=MIN($AJ$102),"YES!!!","Reject")</f>
        <v>YES!!!</v>
      </c>
      <c r="AL102" s="77" t="str">
        <f>N102</f>
        <v>Biomass yield, growth rate, area under the growth curve</v>
      </c>
      <c r="AM102" s="68" t="s">
        <v>105</v>
      </c>
      <c r="AN102" s="66" t="str">
        <f>CONCATENATE(P102," ",Q102)</f>
        <v>72 Hour</v>
      </c>
      <c r="AO102" s="68" t="s">
        <v>106</v>
      </c>
      <c r="AP102" s="106"/>
      <c r="AQ102" s="74">
        <f>AD102</f>
        <v>5.2</v>
      </c>
      <c r="AR102" s="77">
        <f>GEOMEAN(AQ102)</f>
        <v>5.2</v>
      </c>
      <c r="AS102" s="77">
        <f>MIN(AR102)</f>
        <v>5.2</v>
      </c>
      <c r="AT102" s="77">
        <f>MIN(AS102)</f>
        <v>5.2</v>
      </c>
      <c r="AU102" s="117" t="s">
        <v>239</v>
      </c>
      <c r="AV102" s="65"/>
      <c r="AW102" s="65"/>
      <c r="AX102" s="77" t="str">
        <f>H102</f>
        <v>Microalgae</v>
      </c>
      <c r="AY102" s="102" t="str">
        <f>E102</f>
        <v>Stauroneis amphoroides</v>
      </c>
      <c r="AZ102" s="77" t="str">
        <f>F102</f>
        <v>Bacillariophyta</v>
      </c>
      <c r="BA102" s="97" t="str">
        <f>G102</f>
        <v>Bacillariophyceae</v>
      </c>
      <c r="BB102" s="97" t="str">
        <f>I102</f>
        <v>Phototroph</v>
      </c>
      <c r="BC102" s="86">
        <f>AJ102</f>
        <v>2</v>
      </c>
      <c r="BD102" s="77">
        <f>AT102</f>
        <v>5.2</v>
      </c>
      <c r="BE102" s="117" t="s">
        <v>239</v>
      </c>
      <c r="BF102" s="117" t="s">
        <v>239</v>
      </c>
      <c r="BG102" s="112"/>
      <c r="BH102" s="112"/>
      <c r="BI102" s="6"/>
      <c r="BJ102" s="106"/>
      <c r="BK102" s="6"/>
      <c r="BL102" s="6"/>
      <c r="BM102" s="106"/>
      <c r="BN102" s="106"/>
      <c r="BO102" s="50"/>
      <c r="BP102" s="50"/>
      <c r="BQ102" s="106"/>
      <c r="CD102"/>
    </row>
    <row r="103" spans="1:107" s="67" customFormat="1" ht="16.5" hidden="1" thickTop="1" thickBot="1">
      <c r="A103" s="40"/>
      <c r="B103" s="40"/>
      <c r="C103" s="34"/>
      <c r="D103" s="34"/>
      <c r="E103" s="168"/>
      <c r="F103" s="34"/>
      <c r="G103" s="34"/>
      <c r="H103" s="40"/>
      <c r="I103" s="40"/>
      <c r="J103" s="40"/>
      <c r="K103" s="34"/>
      <c r="L103" s="163"/>
      <c r="M103" s="163"/>
      <c r="N103" s="163"/>
      <c r="O103" s="40"/>
      <c r="P103" s="40"/>
      <c r="Q103" s="40"/>
      <c r="R103" s="40"/>
      <c r="S103" s="40"/>
      <c r="T103" s="40"/>
      <c r="U103" s="40"/>
      <c r="V103" s="70"/>
      <c r="W103" s="70"/>
      <c r="X103" s="34"/>
      <c r="Y103" s="40"/>
      <c r="Z103" s="40"/>
      <c r="AA103" s="70"/>
      <c r="AB103" s="40"/>
      <c r="AC103" s="40"/>
      <c r="AD103" s="70"/>
      <c r="AE103" s="40"/>
      <c r="AF103" s="100"/>
      <c r="AG103" s="81"/>
      <c r="AH103" s="81"/>
      <c r="AI103" s="34"/>
      <c r="AJ103" s="34"/>
      <c r="AK103" s="34"/>
      <c r="AL103" s="34"/>
      <c r="AM103" s="40"/>
      <c r="AN103" s="40"/>
      <c r="AO103" s="40"/>
      <c r="AP103" s="34"/>
      <c r="AQ103" s="70"/>
      <c r="AR103" s="34"/>
      <c r="AS103" s="34"/>
      <c r="AT103" s="34"/>
      <c r="AU103" s="40"/>
      <c r="AV103" s="50"/>
      <c r="AW103" s="50"/>
      <c r="AX103" s="90"/>
      <c r="AY103" s="100"/>
      <c r="AZ103" s="34"/>
      <c r="BA103" s="34"/>
      <c r="BB103" s="34"/>
      <c r="BC103" s="34"/>
      <c r="BD103" s="34"/>
      <c r="BE103" s="89"/>
      <c r="BF103" s="89"/>
      <c r="BG103" s="50"/>
      <c r="BH103" s="50"/>
      <c r="BI103" s="6"/>
      <c r="BJ103" s="50"/>
      <c r="BK103" s="6"/>
      <c r="BL103" s="6"/>
      <c r="BM103" s="6"/>
      <c r="BN103" s="106"/>
      <c r="BO103" s="96"/>
      <c r="BP103" s="87"/>
      <c r="BQ103" s="106"/>
      <c r="BR103" s="6"/>
      <c r="CD103"/>
    </row>
    <row r="104" spans="1:107" s="67" customFormat="1" ht="15.75" hidden="1" thickBot="1">
      <c r="A104" s="68">
        <v>1642</v>
      </c>
      <c r="B104" s="7" t="s">
        <v>138</v>
      </c>
      <c r="C104" s="2"/>
      <c r="D104" s="6" t="s">
        <v>112</v>
      </c>
      <c r="E104" s="128" t="s">
        <v>147</v>
      </c>
      <c r="F104" s="2" t="s">
        <v>185</v>
      </c>
      <c r="G104" s="2" t="s">
        <v>195</v>
      </c>
      <c r="H104" s="4" t="s">
        <v>17</v>
      </c>
      <c r="I104" s="7" t="s">
        <v>18</v>
      </c>
      <c r="J104" s="7" t="s">
        <v>174</v>
      </c>
      <c r="K104" s="2"/>
      <c r="L104" s="162" t="s">
        <v>205</v>
      </c>
      <c r="M104" s="162" t="s">
        <v>205</v>
      </c>
      <c r="N104" s="162" t="s">
        <v>205</v>
      </c>
      <c r="O104" s="7" t="s">
        <v>15</v>
      </c>
      <c r="P104" s="7">
        <v>72</v>
      </c>
      <c r="Q104" s="66" t="s">
        <v>89</v>
      </c>
      <c r="R104" s="66" t="s">
        <v>16</v>
      </c>
      <c r="S104" s="4"/>
      <c r="T104" s="82">
        <v>58</v>
      </c>
      <c r="U104" s="4" t="s">
        <v>87</v>
      </c>
      <c r="V104" s="66">
        <f>VLOOKUP(U104,Tables!M$5:O$8,3,FALSE)</f>
        <v>1</v>
      </c>
      <c r="W104" s="66">
        <f t="shared" si="9"/>
        <v>58</v>
      </c>
      <c r="X104" s="6"/>
      <c r="Y104" s="71" t="str">
        <f>O104</f>
        <v>EC50</v>
      </c>
      <c r="Z104" s="71">
        <f>VLOOKUP(Y104,Tables!C$5:D$19,2,FALSE)</f>
        <v>5</v>
      </c>
      <c r="AA104" s="72">
        <f>W104/Z104</f>
        <v>11.6</v>
      </c>
      <c r="AB104" s="73" t="str">
        <f>R104</f>
        <v>Chronic</v>
      </c>
      <c r="AC104" s="71">
        <f>VLOOKUP(AB104,Tables!C$22:D$23,2,FALSE)</f>
        <v>1</v>
      </c>
      <c r="AD104" s="74">
        <f>AA104/AC104</f>
        <v>11.6</v>
      </c>
      <c r="AE104" s="117" t="s">
        <v>239</v>
      </c>
      <c r="AF104" s="131" t="str">
        <f>E104</f>
        <v>Thalassiosira fluviatilis</v>
      </c>
      <c r="AG104" s="83" t="str">
        <f>O104</f>
        <v>EC50</v>
      </c>
      <c r="AH104" s="83" t="str">
        <f>R104</f>
        <v>Chronic</v>
      </c>
      <c r="AI104" s="83"/>
      <c r="AJ104" s="71">
        <f>VLOOKUP(SUM(Z104,AC104),Tables!J$5:K$10,2,FALSE)</f>
        <v>2</v>
      </c>
      <c r="AK104" s="63" t="str">
        <f>IF(AJ104=MIN($AJ$104),"YES!!!","Reject")</f>
        <v>YES!!!</v>
      </c>
      <c r="AL104" s="77" t="str">
        <f>N104</f>
        <v>Biomass yield, growth rate, area under the growth curve</v>
      </c>
      <c r="AM104" s="68" t="s">
        <v>105</v>
      </c>
      <c r="AN104" s="66" t="str">
        <f>CONCATENATE(P104," ",Q104)</f>
        <v>72 Hour</v>
      </c>
      <c r="AO104" s="68" t="s">
        <v>106</v>
      </c>
      <c r="AP104" s="106"/>
      <c r="AQ104" s="74">
        <f>AD104</f>
        <v>11.6</v>
      </c>
      <c r="AR104" s="77">
        <f>GEOMEAN(AQ104)</f>
        <v>11.6</v>
      </c>
      <c r="AS104" s="77">
        <f>MIN(AR104)</f>
        <v>11.6</v>
      </c>
      <c r="AT104" s="77">
        <f>MIN(AS104)</f>
        <v>11.6</v>
      </c>
      <c r="AU104" s="117" t="s">
        <v>239</v>
      </c>
      <c r="AV104" s="65"/>
      <c r="AW104" s="65"/>
      <c r="AX104" s="77" t="str">
        <f>H104</f>
        <v>Microalgae</v>
      </c>
      <c r="AY104" s="102" t="str">
        <f>E104</f>
        <v>Thalassiosira fluviatilis</v>
      </c>
      <c r="AZ104" s="77" t="str">
        <f>F104</f>
        <v>Bacillariophyta</v>
      </c>
      <c r="BA104" s="97" t="str">
        <f>G104</f>
        <v>Mediophyceae</v>
      </c>
      <c r="BB104" s="97" t="str">
        <f>I104</f>
        <v>Phototroph</v>
      </c>
      <c r="BC104" s="86">
        <f>AJ104</f>
        <v>2</v>
      </c>
      <c r="BD104" s="77">
        <f>AT104</f>
        <v>11.6</v>
      </c>
      <c r="BE104" s="117" t="s">
        <v>239</v>
      </c>
      <c r="BF104" s="117" t="s">
        <v>239</v>
      </c>
      <c r="BG104" s="112"/>
      <c r="BH104" s="112"/>
      <c r="BI104" s="6"/>
      <c r="BJ104" s="106"/>
      <c r="BK104" s="6"/>
      <c r="BL104" s="6"/>
      <c r="BM104" s="6"/>
      <c r="BN104" s="106"/>
      <c r="BO104" s="106"/>
      <c r="BP104" s="106"/>
      <c r="BQ104" s="106"/>
      <c r="BR104" s="6"/>
      <c r="CD104"/>
    </row>
    <row r="105" spans="1:107" s="67" customFormat="1" ht="16.5" hidden="1" thickTop="1" thickBot="1">
      <c r="A105" s="40"/>
      <c r="B105" s="40"/>
      <c r="C105" s="34"/>
      <c r="D105" s="34"/>
      <c r="E105" s="168"/>
      <c r="F105" s="34"/>
      <c r="G105" s="34"/>
      <c r="H105" s="40"/>
      <c r="I105" s="40"/>
      <c r="J105" s="40"/>
      <c r="K105" s="34"/>
      <c r="L105" s="163"/>
      <c r="M105" s="163"/>
      <c r="N105" s="163"/>
      <c r="O105" s="40"/>
      <c r="P105" s="40"/>
      <c r="Q105" s="40"/>
      <c r="R105" s="40"/>
      <c r="S105" s="40"/>
      <c r="T105" s="40"/>
      <c r="U105" s="40"/>
      <c r="V105" s="70"/>
      <c r="W105" s="70"/>
      <c r="X105" s="34"/>
      <c r="Y105" s="40"/>
      <c r="Z105" s="40"/>
      <c r="AA105" s="70"/>
      <c r="AB105" s="40"/>
      <c r="AC105" s="40"/>
      <c r="AD105" s="70"/>
      <c r="AE105" s="40"/>
      <c r="AF105" s="100"/>
      <c r="AG105" s="81"/>
      <c r="AH105" s="81"/>
      <c r="AI105" s="34"/>
      <c r="AJ105" s="34"/>
      <c r="AK105" s="34"/>
      <c r="AL105" s="34"/>
      <c r="AM105" s="40"/>
      <c r="AN105" s="40"/>
      <c r="AO105" s="40"/>
      <c r="AP105" s="34"/>
      <c r="AQ105" s="70"/>
      <c r="AR105" s="34"/>
      <c r="AS105" s="34"/>
      <c r="AT105" s="34"/>
      <c r="AU105" s="40"/>
      <c r="AV105" s="50"/>
      <c r="AW105" s="50"/>
      <c r="AX105" s="90"/>
      <c r="AY105" s="100"/>
      <c r="AZ105" s="34"/>
      <c r="BA105" s="34"/>
      <c r="BB105" s="34"/>
      <c r="BC105" s="34"/>
      <c r="BD105" s="34"/>
      <c r="BE105" s="89"/>
      <c r="BF105" s="89"/>
      <c r="BG105" s="50"/>
      <c r="BH105" s="50"/>
      <c r="BI105" s="6"/>
      <c r="BJ105" s="106"/>
      <c r="BK105" s="6"/>
      <c r="BL105" s="6"/>
      <c r="BM105" s="6"/>
      <c r="BN105" s="106"/>
      <c r="BO105" s="106"/>
      <c r="BP105" s="106"/>
      <c r="BQ105" s="106"/>
      <c r="BR105" s="6"/>
      <c r="CD105"/>
    </row>
    <row r="106" spans="1:107" ht="15.75" hidden="1" thickBot="1">
      <c r="A106" s="68">
        <v>1641</v>
      </c>
      <c r="B106" s="7" t="s">
        <v>138</v>
      </c>
      <c r="D106" s="67" t="s">
        <v>112</v>
      </c>
      <c r="E106" s="128" t="s">
        <v>146</v>
      </c>
      <c r="F106" s="2" t="s">
        <v>185</v>
      </c>
      <c r="G106" s="2" t="s">
        <v>195</v>
      </c>
      <c r="H106" s="4" t="s">
        <v>17</v>
      </c>
      <c r="I106" s="68" t="s">
        <v>18</v>
      </c>
      <c r="J106" s="7" t="s">
        <v>174</v>
      </c>
      <c r="L106" s="162" t="s">
        <v>205</v>
      </c>
      <c r="M106" s="162" t="s">
        <v>205</v>
      </c>
      <c r="N106" s="162" t="s">
        <v>205</v>
      </c>
      <c r="O106" s="7" t="s">
        <v>15</v>
      </c>
      <c r="P106" s="7">
        <v>72</v>
      </c>
      <c r="Q106" s="68" t="s">
        <v>89</v>
      </c>
      <c r="R106" s="68" t="s">
        <v>16</v>
      </c>
      <c r="T106" s="82">
        <v>55</v>
      </c>
      <c r="U106" s="4" t="s">
        <v>87</v>
      </c>
      <c r="V106" s="66">
        <f>VLOOKUP(U106,Tables!M$5:O$8,3,FALSE)</f>
        <v>1</v>
      </c>
      <c r="W106" s="66">
        <f t="shared" si="9"/>
        <v>55</v>
      </c>
      <c r="Y106" s="71" t="str">
        <f>O106</f>
        <v>EC50</v>
      </c>
      <c r="Z106" s="71">
        <f>VLOOKUP(Y106,Tables!C$5:D$19,2,FALSE)</f>
        <v>5</v>
      </c>
      <c r="AA106" s="72">
        <f>W106/Z106</f>
        <v>11</v>
      </c>
      <c r="AB106" s="73" t="str">
        <f>R106</f>
        <v>Chronic</v>
      </c>
      <c r="AC106" s="71">
        <f>VLOOKUP(AB106,Tables!C$22:D$23,2,FALSE)</f>
        <v>1</v>
      </c>
      <c r="AD106" s="74">
        <f>AA106/AC106</f>
        <v>11</v>
      </c>
      <c r="AE106" s="117" t="s">
        <v>239</v>
      </c>
      <c r="AF106" s="131" t="str">
        <f>E106</f>
        <v>Thalassiosira guillardii</v>
      </c>
      <c r="AG106" s="83" t="str">
        <f>O106</f>
        <v>EC50</v>
      </c>
      <c r="AH106" s="83" t="str">
        <f>R106</f>
        <v>Chronic</v>
      </c>
      <c r="AI106" s="83"/>
      <c r="AJ106" s="71">
        <f>VLOOKUP(SUM(Z106,AC106),Tables!J$5:K$10,2,FALSE)</f>
        <v>2</v>
      </c>
      <c r="AK106" s="63" t="str">
        <f>IF(AJ106=MIN($AJ$106),"YES!!!","Reject")</f>
        <v>YES!!!</v>
      </c>
      <c r="AL106" s="77" t="str">
        <f>N106</f>
        <v>Biomass yield, growth rate, area under the growth curve</v>
      </c>
      <c r="AM106" s="68" t="s">
        <v>105</v>
      </c>
      <c r="AN106" s="66" t="str">
        <f>CONCATENATE(P106," ",Q106)</f>
        <v>72 Hour</v>
      </c>
      <c r="AO106" s="68" t="s">
        <v>106</v>
      </c>
      <c r="AP106" s="106"/>
      <c r="AQ106" s="74">
        <f>AD106</f>
        <v>11</v>
      </c>
      <c r="AR106" s="77">
        <f>GEOMEAN(AQ106)</f>
        <v>11</v>
      </c>
      <c r="AS106" s="77">
        <f>MIN(AR106)</f>
        <v>11</v>
      </c>
      <c r="AT106" s="77">
        <f>MIN(AS106)</f>
        <v>11</v>
      </c>
      <c r="AU106" s="117" t="s">
        <v>239</v>
      </c>
      <c r="AX106" s="77" t="str">
        <f>H106</f>
        <v>Microalgae</v>
      </c>
      <c r="AY106" s="102" t="str">
        <f>E106</f>
        <v>Thalassiosira guillardii</v>
      </c>
      <c r="AZ106" s="77" t="str">
        <f>F106</f>
        <v>Bacillariophyta</v>
      </c>
      <c r="BA106" s="97" t="str">
        <f>G106</f>
        <v>Mediophyceae</v>
      </c>
      <c r="BB106" s="97" t="str">
        <f>I106</f>
        <v>Phototroph</v>
      </c>
      <c r="BC106" s="86">
        <f>AJ106</f>
        <v>2</v>
      </c>
      <c r="BD106" s="77">
        <f>AT106</f>
        <v>11</v>
      </c>
      <c r="BE106" s="117" t="s">
        <v>239</v>
      </c>
      <c r="BF106" s="117" t="s">
        <v>239</v>
      </c>
      <c r="BG106" s="112"/>
      <c r="BH106" s="112"/>
      <c r="BJ106" s="106"/>
      <c r="BN106" s="106"/>
      <c r="BO106" s="50"/>
      <c r="BP106" s="50"/>
      <c r="BQ106" s="106"/>
      <c r="CD106"/>
    </row>
    <row r="107" spans="1:107" ht="16.5" thickTop="1" thickBot="1">
      <c r="A107" s="40"/>
      <c r="B107" s="40"/>
      <c r="C107" s="34"/>
      <c r="D107" s="34"/>
      <c r="E107" s="168"/>
      <c r="F107" s="34"/>
      <c r="G107" s="34"/>
      <c r="H107" s="40"/>
      <c r="I107" s="40"/>
      <c r="J107" s="40"/>
      <c r="K107" s="34"/>
      <c r="L107" s="163"/>
      <c r="M107" s="163"/>
      <c r="N107" s="163"/>
      <c r="O107" s="40"/>
      <c r="P107" s="40"/>
      <c r="Q107" s="40"/>
      <c r="R107" s="40"/>
      <c r="S107" s="40"/>
      <c r="T107" s="40"/>
      <c r="U107" s="40"/>
      <c r="V107" s="70"/>
      <c r="W107" s="70"/>
      <c r="X107" s="34"/>
      <c r="Y107" s="40"/>
      <c r="Z107" s="40"/>
      <c r="AA107" s="70"/>
      <c r="AB107" s="40"/>
      <c r="AC107" s="40"/>
      <c r="AD107" s="70"/>
      <c r="AE107" s="40"/>
      <c r="AF107" s="100"/>
      <c r="AG107" s="81"/>
      <c r="AH107" s="81"/>
      <c r="AI107" s="34"/>
      <c r="AJ107" s="34"/>
      <c r="AK107" s="34"/>
      <c r="AL107" s="34"/>
      <c r="AM107" s="40"/>
      <c r="AN107" s="40"/>
      <c r="AO107" s="40"/>
      <c r="AP107" s="34"/>
      <c r="AQ107" s="70"/>
      <c r="AR107" s="34"/>
      <c r="AS107" s="34"/>
      <c r="AT107" s="34"/>
      <c r="AU107" s="40"/>
      <c r="AV107" s="50"/>
      <c r="AW107" s="50"/>
      <c r="AX107" s="90"/>
      <c r="AY107" s="100"/>
      <c r="AZ107" s="34"/>
      <c r="BA107" s="34"/>
      <c r="BB107" s="34"/>
      <c r="BC107" s="34"/>
      <c r="BD107" s="34"/>
      <c r="BE107" s="89"/>
      <c r="BF107" s="89"/>
      <c r="BG107" s="50"/>
      <c r="BH107" s="50"/>
      <c r="BJ107" s="106"/>
      <c r="BN107" s="106"/>
      <c r="BO107" s="50"/>
      <c r="BP107" s="50"/>
      <c r="BQ107" s="106"/>
      <c r="CD107"/>
    </row>
    <row r="108" spans="1:107" ht="15.75" thickTop="1">
      <c r="T108" s="7"/>
      <c r="U108" s="7"/>
      <c r="V108" s="6"/>
      <c r="X108" s="7"/>
      <c r="AC108" s="51"/>
      <c r="AD108" s="53"/>
      <c r="AE108" s="67"/>
      <c r="AF108" s="99"/>
      <c r="AG108" s="2"/>
      <c r="AI108" s="6"/>
      <c r="AL108" s="7"/>
      <c r="AN108" s="66"/>
      <c r="AO108" s="78"/>
      <c r="AP108" s="6"/>
      <c r="AQ108" s="6"/>
      <c r="AS108" s="7"/>
      <c r="AU108" s="6"/>
      <c r="BJ108" s="50"/>
      <c r="BN108" s="106"/>
      <c r="BO108" s="50"/>
      <c r="BP108" s="50"/>
      <c r="BQ108" s="106"/>
      <c r="CD108"/>
    </row>
    <row r="109" spans="1:107">
      <c r="T109" s="7"/>
      <c r="U109" s="7"/>
      <c r="V109" s="6"/>
      <c r="X109" s="7"/>
      <c r="AC109" s="51"/>
      <c r="AD109" s="53"/>
      <c r="AE109" s="67"/>
      <c r="AF109" s="99"/>
      <c r="AG109" s="2"/>
      <c r="AI109" s="6"/>
      <c r="AL109" s="7"/>
      <c r="AN109" s="66"/>
      <c r="AO109" s="78"/>
      <c r="AP109" s="6"/>
      <c r="AQ109" s="6"/>
      <c r="AS109" s="7"/>
      <c r="AU109" s="6"/>
      <c r="BJ109" s="50"/>
      <c r="BN109" s="106"/>
      <c r="BO109" s="50"/>
      <c r="BP109" s="50"/>
      <c r="BQ109" s="106"/>
      <c r="CD109"/>
    </row>
    <row r="110" spans="1:107">
      <c r="B110" s="6"/>
      <c r="C110" s="6"/>
      <c r="H110" s="6"/>
      <c r="I110" s="6"/>
      <c r="J110" s="6"/>
      <c r="K110" s="6"/>
      <c r="L110" s="53"/>
      <c r="O110" s="6"/>
      <c r="P110" s="6"/>
      <c r="Q110" s="6"/>
      <c r="R110" s="6"/>
      <c r="S110" s="6"/>
      <c r="T110" s="6"/>
      <c r="U110" s="6"/>
      <c r="BJ110" s="50"/>
      <c r="BN110" s="106"/>
      <c r="BO110" s="50"/>
      <c r="BP110" s="50"/>
      <c r="BQ110" s="106"/>
      <c r="CD110"/>
    </row>
    <row r="111" spans="1:107">
      <c r="B111" s="6"/>
      <c r="C111" s="6"/>
      <c r="H111" s="6"/>
      <c r="I111" s="6"/>
      <c r="J111" s="6"/>
      <c r="K111" s="6"/>
      <c r="L111" s="53"/>
      <c r="O111" s="6"/>
      <c r="P111" s="6"/>
      <c r="Q111" s="6"/>
      <c r="R111" s="6"/>
      <c r="S111" s="6"/>
      <c r="T111" s="6"/>
      <c r="U111" s="6"/>
      <c r="BJ111" s="87"/>
      <c r="BN111" s="106"/>
      <c r="BO111" s="50"/>
      <c r="BP111" s="50"/>
      <c r="BQ111" s="106"/>
      <c r="CD111"/>
    </row>
    <row r="112" spans="1:107">
      <c r="BJ112" s="87"/>
      <c r="BN112" s="106"/>
      <c r="BO112" s="96"/>
      <c r="BP112" s="87"/>
      <c r="BQ112" s="106"/>
      <c r="CD112"/>
    </row>
    <row r="113" spans="4:82">
      <c r="D113" s="94"/>
      <c r="E113" s="167"/>
      <c r="F113" s="92"/>
      <c r="G113" s="92"/>
      <c r="H113" s="92"/>
      <c r="I113" s="92"/>
      <c r="J113" s="93"/>
      <c r="K113" s="98"/>
      <c r="L113" s="164"/>
      <c r="M113" s="165"/>
      <c r="N113" s="167"/>
      <c r="P113" s="68"/>
      <c r="Q113" s="68"/>
      <c r="R113" s="68"/>
      <c r="S113" s="66"/>
      <c r="T113" s="66"/>
      <c r="U113" s="82"/>
      <c r="V113" s="66"/>
      <c r="W113" s="66"/>
      <c r="Y113" s="66"/>
      <c r="BJ113" s="87"/>
      <c r="BN113" s="106"/>
      <c r="BO113" s="106"/>
      <c r="BP113" s="106"/>
      <c r="BQ113" s="106"/>
      <c r="CD113"/>
    </row>
    <row r="114" spans="4:82">
      <c r="D114" s="94"/>
      <c r="E114" s="167"/>
      <c r="F114" s="92"/>
      <c r="G114" s="92"/>
      <c r="H114" s="92"/>
      <c r="I114" s="92"/>
      <c r="J114" s="93"/>
      <c r="K114" s="98"/>
      <c r="L114" s="165"/>
      <c r="M114" s="165"/>
      <c r="N114" s="167"/>
      <c r="P114" s="68"/>
      <c r="Q114" s="68"/>
      <c r="R114" s="68"/>
      <c r="S114" s="66"/>
      <c r="T114" s="66"/>
      <c r="U114" s="82"/>
      <c r="V114" s="66"/>
      <c r="W114" s="66"/>
      <c r="Y114" s="66"/>
      <c r="BJ114" s="106"/>
      <c r="BN114" s="106"/>
      <c r="BO114" s="106"/>
      <c r="BP114" s="106"/>
      <c r="BQ114" s="106"/>
      <c r="CD114"/>
    </row>
    <row r="115" spans="4:82">
      <c r="D115" s="94"/>
      <c r="E115" s="167"/>
      <c r="F115" s="92"/>
      <c r="G115" s="92"/>
      <c r="H115" s="92"/>
      <c r="I115" s="92"/>
      <c r="J115" s="93"/>
      <c r="K115" s="98"/>
      <c r="L115" s="164"/>
      <c r="M115" s="165"/>
      <c r="N115" s="167"/>
      <c r="P115" s="68"/>
      <c r="Q115" s="68"/>
      <c r="R115" s="66"/>
      <c r="S115" s="66"/>
      <c r="T115" s="66"/>
      <c r="U115" s="82"/>
      <c r="V115" s="66"/>
      <c r="W115" s="66"/>
      <c r="Y115" s="66"/>
      <c r="BJ115" s="50"/>
      <c r="BN115" s="106"/>
      <c r="BO115" s="106"/>
      <c r="BP115" s="106"/>
      <c r="BQ115" s="106"/>
      <c r="CD115"/>
    </row>
    <row r="116" spans="4:82">
      <c r="D116" s="94"/>
      <c r="E116" s="167"/>
      <c r="F116" s="92"/>
      <c r="G116" s="92"/>
      <c r="H116" s="92"/>
      <c r="I116" s="92"/>
      <c r="J116" s="93"/>
      <c r="K116" s="98"/>
      <c r="L116" s="165"/>
      <c r="M116" s="165"/>
      <c r="N116" s="167"/>
      <c r="P116" s="68"/>
      <c r="Q116" s="68"/>
      <c r="R116" s="66"/>
      <c r="S116" s="66"/>
      <c r="T116" s="66"/>
      <c r="U116" s="82"/>
      <c r="V116" s="66"/>
      <c r="W116" s="66"/>
      <c r="Y116" s="66"/>
      <c r="BJ116" s="105"/>
      <c r="BN116" s="106"/>
      <c r="BO116" s="50"/>
      <c r="BP116" s="50"/>
      <c r="BQ116" s="106"/>
      <c r="CD116"/>
    </row>
    <row r="117" spans="4:82">
      <c r="D117" s="94"/>
      <c r="E117" s="167"/>
      <c r="F117" s="92"/>
      <c r="G117" s="92"/>
      <c r="H117" s="92"/>
      <c r="I117" s="92"/>
      <c r="J117" s="93"/>
      <c r="K117" s="98"/>
      <c r="L117" s="165"/>
      <c r="M117" s="165"/>
      <c r="N117" s="167"/>
      <c r="P117" s="66"/>
      <c r="Q117" s="68"/>
      <c r="R117" s="68"/>
      <c r="S117" s="66"/>
      <c r="T117" s="66"/>
      <c r="U117" s="66"/>
      <c r="V117" s="66"/>
      <c r="W117" s="66"/>
      <c r="Y117" s="66"/>
      <c r="BJ117" s="50"/>
      <c r="BN117" s="106"/>
      <c r="BO117" s="106"/>
      <c r="BP117" s="106"/>
      <c r="BQ117" s="106"/>
      <c r="CD117"/>
    </row>
    <row r="118" spans="4:82">
      <c r="D118" s="94"/>
      <c r="E118" s="167"/>
      <c r="F118" s="92"/>
      <c r="G118" s="92"/>
      <c r="H118" s="92"/>
      <c r="I118" s="92"/>
      <c r="J118" s="93"/>
      <c r="K118" s="98"/>
      <c r="L118" s="165"/>
      <c r="M118" s="165"/>
      <c r="N118" s="167"/>
      <c r="P118" s="66"/>
      <c r="Q118" s="68"/>
      <c r="R118" s="68"/>
      <c r="S118" s="66"/>
      <c r="T118" s="66"/>
      <c r="U118" s="66"/>
      <c r="V118" s="66"/>
      <c r="W118" s="66"/>
      <c r="Y118" s="66"/>
      <c r="BJ118" s="50"/>
      <c r="BN118" s="50"/>
      <c r="BO118" s="50"/>
      <c r="BP118" s="50"/>
      <c r="BQ118" s="106"/>
      <c r="CD118"/>
    </row>
    <row r="119" spans="4:82">
      <c r="BJ119" s="105"/>
      <c r="BN119" s="106"/>
      <c r="BO119" s="106"/>
      <c r="BP119" s="106"/>
      <c r="BQ119" s="106"/>
      <c r="CD119"/>
    </row>
    <row r="120" spans="4:82">
      <c r="BJ120" s="106"/>
      <c r="BN120" s="106"/>
      <c r="BO120" s="106"/>
      <c r="BP120" s="106"/>
      <c r="BQ120" s="106"/>
    </row>
    <row r="121" spans="4:82">
      <c r="BJ121" s="106"/>
      <c r="BN121" s="106"/>
      <c r="BO121" s="106"/>
      <c r="BP121" s="106"/>
      <c r="BQ121" s="106"/>
    </row>
    <row r="122" spans="4:82">
      <c r="BJ122" s="50"/>
      <c r="BN122" s="106"/>
      <c r="BO122" s="106"/>
      <c r="BP122" s="106"/>
      <c r="BQ122" s="106"/>
    </row>
    <row r="123" spans="4:82">
      <c r="BJ123" s="50"/>
      <c r="BN123" s="50"/>
      <c r="BO123" s="50"/>
      <c r="BP123" s="50"/>
      <c r="BQ123" s="106"/>
    </row>
    <row r="124" spans="4:82">
      <c r="BJ124" s="50"/>
      <c r="BN124" s="50"/>
      <c r="BO124" s="50"/>
      <c r="BP124" s="50"/>
      <c r="BQ124" s="106"/>
    </row>
    <row r="125" spans="4:82">
      <c r="BJ125" s="106"/>
      <c r="BN125" s="50"/>
      <c r="BO125" s="50"/>
      <c r="BP125" s="50"/>
      <c r="BQ125" s="106"/>
    </row>
    <row r="126" spans="4:82">
      <c r="BJ126" s="106"/>
      <c r="BN126" s="95"/>
      <c r="BO126" s="96"/>
      <c r="BP126" s="87"/>
      <c r="BQ126" s="106"/>
    </row>
    <row r="127" spans="4:82">
      <c r="BN127" s="87"/>
      <c r="BO127" s="87"/>
      <c r="BP127" s="87"/>
      <c r="BQ127" s="106"/>
    </row>
    <row r="128" spans="4:82">
      <c r="BN128" s="95"/>
      <c r="BO128" s="96"/>
      <c r="BP128" s="87"/>
      <c r="BQ128" s="106"/>
    </row>
    <row r="129" spans="66:69">
      <c r="BN129" s="106"/>
      <c r="BO129" s="106"/>
      <c r="BP129" s="106"/>
      <c r="BQ129" s="106"/>
    </row>
    <row r="130" spans="66:69">
      <c r="BN130" s="50"/>
      <c r="BO130" s="50"/>
      <c r="BP130" s="50"/>
      <c r="BQ130" s="106"/>
    </row>
    <row r="131" spans="66:69">
      <c r="BN131" s="105"/>
      <c r="BO131" s="105"/>
      <c r="BP131" s="105"/>
      <c r="BQ131" s="106"/>
    </row>
    <row r="132" spans="66:69">
      <c r="BN132" s="50"/>
      <c r="BO132" s="50"/>
      <c r="BP132" s="50"/>
      <c r="BQ132" s="106"/>
    </row>
    <row r="133" spans="66:69">
      <c r="BN133" s="50"/>
      <c r="BO133" s="50"/>
      <c r="BP133" s="50"/>
      <c r="BQ133" s="106"/>
    </row>
    <row r="134" spans="66:69">
      <c r="BN134" s="105"/>
      <c r="BO134" s="105"/>
      <c r="BP134" s="105"/>
      <c r="BQ134" s="106"/>
    </row>
    <row r="135" spans="66:69">
      <c r="BN135" s="106"/>
      <c r="BO135" s="106"/>
      <c r="BP135" s="106"/>
      <c r="BQ135" s="106"/>
    </row>
    <row r="136" spans="66:69">
      <c r="BN136" s="106"/>
      <c r="BO136" s="106"/>
      <c r="BP136" s="106"/>
      <c r="BQ136" s="106"/>
    </row>
    <row r="137" spans="66:69">
      <c r="BN137" s="50"/>
      <c r="BO137" s="50"/>
      <c r="BP137" s="50"/>
      <c r="BQ137" s="106"/>
    </row>
    <row r="138" spans="66:69">
      <c r="BN138" s="50"/>
      <c r="BO138" s="50"/>
      <c r="BP138" s="50"/>
      <c r="BQ138" s="106"/>
    </row>
    <row r="139" spans="66:69">
      <c r="BN139" s="50"/>
      <c r="BO139" s="50"/>
      <c r="BP139" s="50"/>
      <c r="BQ139" s="106"/>
    </row>
    <row r="140" spans="66:69">
      <c r="BN140" s="106"/>
      <c r="BO140" s="106"/>
      <c r="BP140" s="106"/>
      <c r="BQ140" s="106"/>
    </row>
    <row r="141" spans="66:69">
      <c r="BN141" s="106"/>
      <c r="BO141" s="106"/>
      <c r="BP141" s="106"/>
      <c r="BQ141" s="106"/>
    </row>
  </sheetData>
  <autoFilter ref="A6:AD106" xr:uid="{765B42C8-94F3-4D11-9995-1474F9BBD9AF}">
    <filterColumn colId="3">
      <filters>
        <filter val="Freshwater"/>
      </filters>
    </filterColumn>
  </autoFilter>
  <mergeCells count="10">
    <mergeCell ref="A4:B5"/>
    <mergeCell ref="D4:J5"/>
    <mergeCell ref="L4:R5"/>
    <mergeCell ref="BJ4:BP5"/>
    <mergeCell ref="T4:W5"/>
    <mergeCell ref="Y4:AD5"/>
    <mergeCell ref="AQ4:AT5"/>
    <mergeCell ref="AX4:BD5"/>
    <mergeCell ref="AF5:AG5"/>
    <mergeCell ref="AN5:AO5"/>
  </mergeCells>
  <conditionalFormatting sqref="AL33:AL34 AK29 AK52:AK53 AK20:AK21 AJ38:AK38 Q15:AD16 AK42:AK45 A18 K18 E18 C18 O18:U18 AK39:AK40">
    <cfRule type="containsText" dxfId="166" priority="571" operator="containsText" text="YES!!!">
      <formula>NOT(ISERROR(SEARCH("YES!!!",A15)))</formula>
    </cfRule>
  </conditionalFormatting>
  <conditionalFormatting sqref="AK29 AL33:AL34 AK52:AK53 AK20:AK21 AK42:AK45 AK38:AK40">
    <cfRule type="containsText" dxfId="165" priority="570" operator="containsText" text="Reject">
      <formula>NOT(ISERROR(SEARCH("Reject",AK20)))</formula>
    </cfRule>
  </conditionalFormatting>
  <conditionalFormatting sqref="AK7">
    <cfRule type="containsText" dxfId="164" priority="313" operator="containsText" text="YES!!!">
      <formula>NOT(ISERROR(SEARCH("YES!!!",AK7)))</formula>
    </cfRule>
  </conditionalFormatting>
  <conditionalFormatting sqref="AK7">
    <cfRule type="containsText" dxfId="163" priority="312" operator="containsText" text="Reject">
      <formula>NOT(ISERROR(SEARCH("Reject",AK7)))</formula>
    </cfRule>
  </conditionalFormatting>
  <conditionalFormatting sqref="AK9:AK11">
    <cfRule type="containsText" dxfId="162" priority="311" operator="containsText" text="YES!!!">
      <formula>NOT(ISERROR(SEARCH("YES!!!",AK9)))</formula>
    </cfRule>
  </conditionalFormatting>
  <conditionalFormatting sqref="AK9:AK11">
    <cfRule type="containsText" dxfId="161" priority="310" operator="containsText" text="Reject">
      <formula>NOT(ISERROR(SEARCH("Reject",AK9)))</formula>
    </cfRule>
  </conditionalFormatting>
  <conditionalFormatting sqref="AK15:AK16">
    <cfRule type="containsText" dxfId="160" priority="309" operator="containsText" text="YES!!!">
      <formula>NOT(ISERROR(SEARCH("YES!!!",AK15)))</formula>
    </cfRule>
  </conditionalFormatting>
  <conditionalFormatting sqref="AK15:AK16">
    <cfRule type="containsText" dxfId="159" priority="308" operator="containsText" text="Reject">
      <formula>NOT(ISERROR(SEARCH("Reject",AK15)))</formula>
    </cfRule>
  </conditionalFormatting>
  <conditionalFormatting sqref="AK47">
    <cfRule type="containsText" dxfId="158" priority="250" operator="containsText" text="Reject">
      <formula>NOT(ISERROR(SEARCH("Reject",AK47)))</formula>
    </cfRule>
  </conditionalFormatting>
  <conditionalFormatting sqref="AK26:AK27">
    <cfRule type="containsText" dxfId="157" priority="305" operator="containsText" text="YES!!!">
      <formula>NOT(ISERROR(SEARCH("YES!!!",AK26)))</formula>
    </cfRule>
  </conditionalFormatting>
  <conditionalFormatting sqref="AK26:AK27">
    <cfRule type="containsText" dxfId="156" priority="304" operator="containsText" text="Reject">
      <formula>NOT(ISERROR(SEARCH("Reject",AK26)))</formula>
    </cfRule>
  </conditionalFormatting>
  <conditionalFormatting sqref="AK49:AK50">
    <cfRule type="containsText" dxfId="155" priority="297" operator="containsText" text="YES!!!">
      <formula>NOT(ISERROR(SEARCH("YES!!!",AK49)))</formula>
    </cfRule>
  </conditionalFormatting>
  <conditionalFormatting sqref="AK49:AK50">
    <cfRule type="containsText" dxfId="154" priority="296" operator="containsText" text="Reject">
      <formula>NOT(ISERROR(SEARCH("Reject",AK49)))</formula>
    </cfRule>
  </conditionalFormatting>
  <conditionalFormatting sqref="AK55:AK58">
    <cfRule type="containsText" dxfId="153" priority="291" operator="containsText" text="YES!!!">
      <formula>NOT(ISERROR(SEARCH("YES!!!",AK55)))</formula>
    </cfRule>
  </conditionalFormatting>
  <conditionalFormatting sqref="AK55:AK58">
    <cfRule type="containsText" dxfId="152" priority="290" operator="containsText" text="Reject">
      <formula>NOT(ISERROR(SEARCH("Reject",AK55)))</formula>
    </cfRule>
  </conditionalFormatting>
  <conditionalFormatting sqref="AK70:AK74">
    <cfRule type="containsText" dxfId="151" priority="289" operator="containsText" text="YES!!!">
      <formula>NOT(ISERROR(SEARCH("YES!!!",AK70)))</formula>
    </cfRule>
  </conditionalFormatting>
  <conditionalFormatting sqref="AK70:AK74">
    <cfRule type="containsText" dxfId="150" priority="288" operator="containsText" text="Reject">
      <formula>NOT(ISERROR(SEARCH("Reject",AK70)))</formula>
    </cfRule>
  </conditionalFormatting>
  <conditionalFormatting sqref="AK79:AK83">
    <cfRule type="containsText" dxfId="149" priority="287" operator="containsText" text="YES!!!">
      <formula>NOT(ISERROR(SEARCH("YES!!!",AK79)))</formula>
    </cfRule>
  </conditionalFormatting>
  <conditionalFormatting sqref="AK79:AK83">
    <cfRule type="containsText" dxfId="148" priority="286" operator="containsText" text="Reject">
      <formula>NOT(ISERROR(SEARCH("Reject",AK79)))</formula>
    </cfRule>
  </conditionalFormatting>
  <conditionalFormatting sqref="AK102">
    <cfRule type="containsText" dxfId="147" priority="279" operator="containsText" text="YES!!!">
      <formula>NOT(ISERROR(SEARCH("YES!!!",AK102)))</formula>
    </cfRule>
  </conditionalFormatting>
  <conditionalFormatting sqref="AK102">
    <cfRule type="containsText" dxfId="146" priority="278" operator="containsText" text="Reject">
      <formula>NOT(ISERROR(SEARCH("Reject",AK102)))</formula>
    </cfRule>
  </conditionalFormatting>
  <conditionalFormatting sqref="AK104">
    <cfRule type="containsText" dxfId="145" priority="277" operator="containsText" text="YES!!!">
      <formula>NOT(ISERROR(SEARCH("YES!!!",AK104)))</formula>
    </cfRule>
  </conditionalFormatting>
  <conditionalFormatting sqref="AK104">
    <cfRule type="containsText" dxfId="144" priority="276" operator="containsText" text="Reject">
      <formula>NOT(ISERROR(SEARCH("Reject",AK104)))</formula>
    </cfRule>
  </conditionalFormatting>
  <conditionalFormatting sqref="AK106">
    <cfRule type="containsText" dxfId="143" priority="275" operator="containsText" text="YES!!!">
      <formula>NOT(ISERROR(SEARCH("YES!!!",AK106)))</formula>
    </cfRule>
  </conditionalFormatting>
  <conditionalFormatting sqref="AK106">
    <cfRule type="containsText" dxfId="142" priority="274" operator="containsText" text="Reject">
      <formula>NOT(ISERROR(SEARCH("Reject",AK106)))</formula>
    </cfRule>
  </conditionalFormatting>
  <conditionalFormatting sqref="AK96">
    <cfRule type="containsText" dxfId="141" priority="273" operator="containsText" text="YES!!!">
      <formula>NOT(ISERROR(SEARCH("YES!!!",AK96)))</formula>
    </cfRule>
  </conditionalFormatting>
  <conditionalFormatting sqref="AK96">
    <cfRule type="containsText" dxfId="140" priority="272" operator="containsText" text="Reject">
      <formula>NOT(ISERROR(SEARCH("Reject",AK96)))</formula>
    </cfRule>
  </conditionalFormatting>
  <conditionalFormatting sqref="AK87">
    <cfRule type="containsText" dxfId="139" priority="267" operator="containsText" text="YES!!!">
      <formula>NOT(ISERROR(SEARCH("YES!!!",AK87)))</formula>
    </cfRule>
  </conditionalFormatting>
  <conditionalFormatting sqref="AK87">
    <cfRule type="containsText" dxfId="138" priority="266" operator="containsText" text="Reject">
      <formula>NOT(ISERROR(SEARCH("Reject",AK87)))</formula>
    </cfRule>
  </conditionalFormatting>
  <conditionalFormatting sqref="AK68">
    <cfRule type="containsText" dxfId="137" priority="265" operator="containsText" text="YES!!!">
      <formula>NOT(ISERROR(SEARCH("YES!!!",AK68)))</formula>
    </cfRule>
  </conditionalFormatting>
  <conditionalFormatting sqref="AK68">
    <cfRule type="containsText" dxfId="136" priority="264" operator="containsText" text="Reject">
      <formula>NOT(ISERROR(SEARCH("Reject",AK68)))</formula>
    </cfRule>
  </conditionalFormatting>
  <conditionalFormatting sqref="AK64">
    <cfRule type="containsText" dxfId="135" priority="263" operator="containsText" text="YES!!!">
      <formula>NOT(ISERROR(SEARCH("YES!!!",AK64)))</formula>
    </cfRule>
  </conditionalFormatting>
  <conditionalFormatting sqref="AK64">
    <cfRule type="containsText" dxfId="134" priority="262" operator="containsText" text="Reject">
      <formula>NOT(ISERROR(SEARCH("Reject",AK64)))</formula>
    </cfRule>
  </conditionalFormatting>
  <conditionalFormatting sqref="AK62">
    <cfRule type="containsText" dxfId="133" priority="261" operator="containsText" text="YES!!!">
      <formula>NOT(ISERROR(SEARCH("YES!!!",AK62)))</formula>
    </cfRule>
  </conditionalFormatting>
  <conditionalFormatting sqref="AK62">
    <cfRule type="containsText" dxfId="132" priority="260" operator="containsText" text="Reject">
      <formula>NOT(ISERROR(SEARCH("Reject",AK62)))</formula>
    </cfRule>
  </conditionalFormatting>
  <conditionalFormatting sqref="AK60">
    <cfRule type="containsText" dxfId="131" priority="259" operator="containsText" text="YES!!!">
      <formula>NOT(ISERROR(SEARCH("YES!!!",AK60)))</formula>
    </cfRule>
  </conditionalFormatting>
  <conditionalFormatting sqref="AK60">
    <cfRule type="containsText" dxfId="130" priority="258" operator="containsText" text="Reject">
      <formula>NOT(ISERROR(SEARCH("Reject",AK60)))</formula>
    </cfRule>
  </conditionalFormatting>
  <conditionalFormatting sqref="AK76:AK77">
    <cfRule type="containsText" dxfId="129" priority="257" operator="containsText" text="YES!!!">
      <formula>NOT(ISERROR(SEARCH("YES!!!",AK76)))</formula>
    </cfRule>
  </conditionalFormatting>
  <conditionalFormatting sqref="AK76:AK77">
    <cfRule type="containsText" dxfId="128" priority="256" operator="containsText" text="Reject">
      <formula>NOT(ISERROR(SEARCH("Reject",AK76)))</formula>
    </cfRule>
  </conditionalFormatting>
  <conditionalFormatting sqref="AK13">
    <cfRule type="containsText" dxfId="127" priority="253" operator="containsText" text="YES!!!">
      <formula>NOT(ISERROR(SEARCH("YES!!!",AK13)))</formula>
    </cfRule>
  </conditionalFormatting>
  <conditionalFormatting sqref="AK13">
    <cfRule type="containsText" dxfId="126" priority="252" operator="containsText" text="Reject">
      <formula>NOT(ISERROR(SEARCH("Reject",AK13)))</formula>
    </cfRule>
  </conditionalFormatting>
  <conditionalFormatting sqref="AK47">
    <cfRule type="containsText" dxfId="125" priority="251" operator="containsText" text="YES!!!">
      <formula>NOT(ISERROR(SEARCH("YES!!!",AK47)))</formula>
    </cfRule>
  </conditionalFormatting>
  <conditionalFormatting sqref="AK107">
    <cfRule type="containsText" dxfId="124" priority="161" operator="containsText" text="Reject">
      <formula>NOT(ISERROR(SEARCH("Reject",AK107)))</formula>
    </cfRule>
  </conditionalFormatting>
  <conditionalFormatting sqref="AJ107">
    <cfRule type="containsText" dxfId="123" priority="163" operator="containsText" text="YES!!!">
      <formula>NOT(ISERROR(SEARCH("YES!!!",AJ107)))</formula>
    </cfRule>
  </conditionalFormatting>
  <conditionalFormatting sqref="AK107">
    <cfRule type="containsText" dxfId="122" priority="162" operator="containsText" text="YES!!!">
      <formula>NOT(ISERROR(SEARCH("YES!!!",AK107)))</formula>
    </cfRule>
  </conditionalFormatting>
  <conditionalFormatting sqref="AK8">
    <cfRule type="containsText" dxfId="121" priority="158" operator="containsText" text="Reject">
      <formula>NOT(ISERROR(SEARCH("Reject",AK8)))</formula>
    </cfRule>
  </conditionalFormatting>
  <conditionalFormatting sqref="AJ8">
    <cfRule type="containsText" dxfId="120" priority="160" operator="containsText" text="YES!!!">
      <formula>NOT(ISERROR(SEARCH("YES!!!",AJ8)))</formula>
    </cfRule>
  </conditionalFormatting>
  <conditionalFormatting sqref="AK8">
    <cfRule type="containsText" dxfId="119" priority="159" operator="containsText" text="YES!!!">
      <formula>NOT(ISERROR(SEARCH("YES!!!",AK8)))</formula>
    </cfRule>
  </conditionalFormatting>
  <conditionalFormatting sqref="AK105">
    <cfRule type="containsText" dxfId="118" priority="155" operator="containsText" text="Reject">
      <formula>NOT(ISERROR(SEARCH("Reject",AK105)))</formula>
    </cfRule>
  </conditionalFormatting>
  <conditionalFormatting sqref="AJ105">
    <cfRule type="containsText" dxfId="117" priority="157" operator="containsText" text="YES!!!">
      <formula>NOT(ISERROR(SEARCH("YES!!!",AJ105)))</formula>
    </cfRule>
  </conditionalFormatting>
  <conditionalFormatting sqref="AK105">
    <cfRule type="containsText" dxfId="116" priority="156" operator="containsText" text="YES!!!">
      <formula>NOT(ISERROR(SEARCH("YES!!!",AK105)))</formula>
    </cfRule>
  </conditionalFormatting>
  <conditionalFormatting sqref="AK103">
    <cfRule type="containsText" dxfId="115" priority="152" operator="containsText" text="Reject">
      <formula>NOT(ISERROR(SEARCH("Reject",AK103)))</formula>
    </cfRule>
  </conditionalFormatting>
  <conditionalFormatting sqref="AJ103">
    <cfRule type="containsText" dxfId="114" priority="154" operator="containsText" text="YES!!!">
      <formula>NOT(ISERROR(SEARCH("YES!!!",AJ103)))</formula>
    </cfRule>
  </conditionalFormatting>
  <conditionalFormatting sqref="AK103">
    <cfRule type="containsText" dxfId="113" priority="153" operator="containsText" text="YES!!!">
      <formula>NOT(ISERROR(SEARCH("YES!!!",AK103)))</formula>
    </cfRule>
  </conditionalFormatting>
  <conditionalFormatting sqref="AK101">
    <cfRule type="containsText" dxfId="112" priority="149" operator="containsText" text="Reject">
      <formula>NOT(ISERROR(SEARCH("Reject",AK101)))</formula>
    </cfRule>
  </conditionalFormatting>
  <conditionalFormatting sqref="AJ101">
    <cfRule type="containsText" dxfId="111" priority="151" operator="containsText" text="YES!!!">
      <formula>NOT(ISERROR(SEARCH("YES!!!",AJ101)))</formula>
    </cfRule>
  </conditionalFormatting>
  <conditionalFormatting sqref="AK101">
    <cfRule type="containsText" dxfId="110" priority="150" operator="containsText" text="YES!!!">
      <formula>NOT(ISERROR(SEARCH("YES!!!",AK101)))</formula>
    </cfRule>
  </conditionalFormatting>
  <conditionalFormatting sqref="AK97">
    <cfRule type="containsText" dxfId="109" priority="146" operator="containsText" text="Reject">
      <formula>NOT(ISERROR(SEARCH("Reject",AK97)))</formula>
    </cfRule>
  </conditionalFormatting>
  <conditionalFormatting sqref="AJ97">
    <cfRule type="containsText" dxfId="108" priority="148" operator="containsText" text="YES!!!">
      <formula>NOT(ISERROR(SEARCH("YES!!!",AJ97)))</formula>
    </cfRule>
  </conditionalFormatting>
  <conditionalFormatting sqref="AK97">
    <cfRule type="containsText" dxfId="107" priority="147" operator="containsText" text="YES!!!">
      <formula>NOT(ISERROR(SEARCH("YES!!!",AK97)))</formula>
    </cfRule>
  </conditionalFormatting>
  <conditionalFormatting sqref="AK95">
    <cfRule type="containsText" dxfId="106" priority="143" operator="containsText" text="Reject">
      <formula>NOT(ISERROR(SEARCH("Reject",AK95)))</formula>
    </cfRule>
  </conditionalFormatting>
  <conditionalFormatting sqref="AJ95">
    <cfRule type="containsText" dxfId="105" priority="145" operator="containsText" text="YES!!!">
      <formula>NOT(ISERROR(SEARCH("YES!!!",AJ95)))</formula>
    </cfRule>
  </conditionalFormatting>
  <conditionalFormatting sqref="AK95">
    <cfRule type="containsText" dxfId="104" priority="144" operator="containsText" text="YES!!!">
      <formula>NOT(ISERROR(SEARCH("YES!!!",AK95)))</formula>
    </cfRule>
  </conditionalFormatting>
  <conditionalFormatting sqref="AK93">
    <cfRule type="containsText" dxfId="103" priority="140" operator="containsText" text="Reject">
      <formula>NOT(ISERROR(SEARCH("Reject",AK93)))</formula>
    </cfRule>
  </conditionalFormatting>
  <conditionalFormatting sqref="AJ93">
    <cfRule type="containsText" dxfId="102" priority="142" operator="containsText" text="YES!!!">
      <formula>NOT(ISERROR(SEARCH("YES!!!",AJ93)))</formula>
    </cfRule>
  </conditionalFormatting>
  <conditionalFormatting sqref="AK93">
    <cfRule type="containsText" dxfId="101" priority="141" operator="containsText" text="YES!!!">
      <formula>NOT(ISERROR(SEARCH("YES!!!",AK93)))</formula>
    </cfRule>
  </conditionalFormatting>
  <conditionalFormatting sqref="AK88">
    <cfRule type="containsText" dxfId="100" priority="131" operator="containsText" text="Reject">
      <formula>NOT(ISERROR(SEARCH("Reject",AK88)))</formula>
    </cfRule>
  </conditionalFormatting>
  <conditionalFormatting sqref="AJ88">
    <cfRule type="containsText" dxfId="99" priority="133" operator="containsText" text="YES!!!">
      <formula>NOT(ISERROR(SEARCH("YES!!!",AJ88)))</formula>
    </cfRule>
  </conditionalFormatting>
  <conditionalFormatting sqref="AK88">
    <cfRule type="containsText" dxfId="98" priority="132" operator="containsText" text="YES!!!">
      <formula>NOT(ISERROR(SEARCH("YES!!!",AK88)))</formula>
    </cfRule>
  </conditionalFormatting>
  <conditionalFormatting sqref="AJ78">
    <cfRule type="containsText" dxfId="97" priority="127" operator="containsText" text="YES!!!">
      <formula>NOT(ISERROR(SEARCH("YES!!!",AJ78)))</formula>
    </cfRule>
  </conditionalFormatting>
  <conditionalFormatting sqref="AK78">
    <cfRule type="containsText" dxfId="96" priority="125" operator="containsText" text="Reject">
      <formula>NOT(ISERROR(SEARCH("Reject",AK78)))</formula>
    </cfRule>
  </conditionalFormatting>
  <conditionalFormatting sqref="AK78">
    <cfRule type="containsText" dxfId="95" priority="126" operator="containsText" text="YES!!!">
      <formula>NOT(ISERROR(SEARCH("YES!!!",AK78)))</formula>
    </cfRule>
  </conditionalFormatting>
  <conditionalFormatting sqref="AK75">
    <cfRule type="containsText" dxfId="94" priority="122" operator="containsText" text="Reject">
      <formula>NOT(ISERROR(SEARCH("Reject",AK75)))</formula>
    </cfRule>
  </conditionalFormatting>
  <conditionalFormatting sqref="AJ75">
    <cfRule type="containsText" dxfId="93" priority="124" operator="containsText" text="YES!!!">
      <formula>NOT(ISERROR(SEARCH("YES!!!",AJ75)))</formula>
    </cfRule>
  </conditionalFormatting>
  <conditionalFormatting sqref="AK75">
    <cfRule type="containsText" dxfId="92" priority="123" operator="containsText" text="YES!!!">
      <formula>NOT(ISERROR(SEARCH("YES!!!",AK75)))</formula>
    </cfRule>
  </conditionalFormatting>
  <conditionalFormatting sqref="AK69">
    <cfRule type="containsText" dxfId="91" priority="119" operator="containsText" text="Reject">
      <formula>NOT(ISERROR(SEARCH("Reject",AK69)))</formula>
    </cfRule>
  </conditionalFormatting>
  <conditionalFormatting sqref="AJ69">
    <cfRule type="containsText" dxfId="90" priority="121" operator="containsText" text="YES!!!">
      <formula>NOT(ISERROR(SEARCH("YES!!!",AJ69)))</formula>
    </cfRule>
  </conditionalFormatting>
  <conditionalFormatting sqref="AK69">
    <cfRule type="containsText" dxfId="89" priority="120" operator="containsText" text="YES!!!">
      <formula>NOT(ISERROR(SEARCH("YES!!!",AK69)))</formula>
    </cfRule>
  </conditionalFormatting>
  <conditionalFormatting sqref="AJ59">
    <cfRule type="containsText" dxfId="88" priority="109" operator="containsText" text="YES!!!">
      <formula>NOT(ISERROR(SEARCH("YES!!!",AJ59)))</formula>
    </cfRule>
  </conditionalFormatting>
  <conditionalFormatting sqref="AK63">
    <cfRule type="containsText" dxfId="87" priority="113" operator="containsText" text="Reject">
      <formula>NOT(ISERROR(SEARCH("Reject",AK63)))</formula>
    </cfRule>
  </conditionalFormatting>
  <conditionalFormatting sqref="AJ63">
    <cfRule type="containsText" dxfId="86" priority="115" operator="containsText" text="YES!!!">
      <formula>NOT(ISERROR(SEARCH("YES!!!",AJ63)))</formula>
    </cfRule>
  </conditionalFormatting>
  <conditionalFormatting sqref="AK63">
    <cfRule type="containsText" dxfId="85" priority="114" operator="containsText" text="YES!!!">
      <formula>NOT(ISERROR(SEARCH("YES!!!",AK63)))</formula>
    </cfRule>
  </conditionalFormatting>
  <conditionalFormatting sqref="AK61">
    <cfRule type="containsText" dxfId="84" priority="110" operator="containsText" text="Reject">
      <formula>NOT(ISERROR(SEARCH("Reject",AK61)))</formula>
    </cfRule>
  </conditionalFormatting>
  <conditionalFormatting sqref="AJ61">
    <cfRule type="containsText" dxfId="83" priority="112" operator="containsText" text="YES!!!">
      <formula>NOT(ISERROR(SEARCH("YES!!!",AJ61)))</formula>
    </cfRule>
  </conditionalFormatting>
  <conditionalFormatting sqref="AK61">
    <cfRule type="containsText" dxfId="82" priority="111" operator="containsText" text="YES!!!">
      <formula>NOT(ISERROR(SEARCH("YES!!!",AK61)))</formula>
    </cfRule>
  </conditionalFormatting>
  <conditionalFormatting sqref="AK59">
    <cfRule type="containsText" dxfId="81" priority="107" operator="containsText" text="Reject">
      <formula>NOT(ISERROR(SEARCH("Reject",AK59)))</formula>
    </cfRule>
  </conditionalFormatting>
  <conditionalFormatting sqref="AK59">
    <cfRule type="containsText" dxfId="80" priority="108" operator="containsText" text="YES!!!">
      <formula>NOT(ISERROR(SEARCH("YES!!!",AK59)))</formula>
    </cfRule>
  </conditionalFormatting>
  <conditionalFormatting sqref="AK54">
    <cfRule type="containsText" dxfId="79" priority="101" operator="containsText" text="Reject">
      <formula>NOT(ISERROR(SEARCH("Reject",AK54)))</formula>
    </cfRule>
  </conditionalFormatting>
  <conditionalFormatting sqref="AJ54">
    <cfRule type="containsText" dxfId="78" priority="103" operator="containsText" text="YES!!!">
      <formula>NOT(ISERROR(SEARCH("YES!!!",AJ54)))</formula>
    </cfRule>
  </conditionalFormatting>
  <conditionalFormatting sqref="AK54">
    <cfRule type="containsText" dxfId="77" priority="102" operator="containsText" text="YES!!!">
      <formula>NOT(ISERROR(SEARCH("YES!!!",AK54)))</formula>
    </cfRule>
  </conditionalFormatting>
  <conditionalFormatting sqref="AK51">
    <cfRule type="containsText" dxfId="76" priority="98" operator="containsText" text="Reject">
      <formula>NOT(ISERROR(SEARCH("Reject",AK51)))</formula>
    </cfRule>
  </conditionalFormatting>
  <conditionalFormatting sqref="AJ51">
    <cfRule type="containsText" dxfId="75" priority="100" operator="containsText" text="YES!!!">
      <formula>NOT(ISERROR(SEARCH("YES!!!",AJ51)))</formula>
    </cfRule>
  </conditionalFormatting>
  <conditionalFormatting sqref="AK51">
    <cfRule type="containsText" dxfId="74" priority="99" operator="containsText" text="YES!!!">
      <formula>NOT(ISERROR(SEARCH("YES!!!",AK51)))</formula>
    </cfRule>
  </conditionalFormatting>
  <conditionalFormatting sqref="AK48">
    <cfRule type="containsText" dxfId="73" priority="95" operator="containsText" text="Reject">
      <formula>NOT(ISERROR(SEARCH("Reject",AK48)))</formula>
    </cfRule>
  </conditionalFormatting>
  <conditionalFormatting sqref="AJ48">
    <cfRule type="containsText" dxfId="72" priority="97" operator="containsText" text="YES!!!">
      <formula>NOT(ISERROR(SEARCH("YES!!!",AJ48)))</formula>
    </cfRule>
  </conditionalFormatting>
  <conditionalFormatting sqref="AK48">
    <cfRule type="containsText" dxfId="71" priority="96" operator="containsText" text="YES!!!">
      <formula>NOT(ISERROR(SEARCH("YES!!!",AK48)))</formula>
    </cfRule>
  </conditionalFormatting>
  <conditionalFormatting sqref="AK46">
    <cfRule type="containsText" dxfId="70" priority="92" operator="containsText" text="Reject">
      <formula>NOT(ISERROR(SEARCH("Reject",AK46)))</formula>
    </cfRule>
  </conditionalFormatting>
  <conditionalFormatting sqref="AJ46">
    <cfRule type="containsText" dxfId="69" priority="94" operator="containsText" text="YES!!!">
      <formula>NOT(ISERROR(SEARCH("YES!!!",AJ46)))</formula>
    </cfRule>
  </conditionalFormatting>
  <conditionalFormatting sqref="AK46">
    <cfRule type="containsText" dxfId="68" priority="93" operator="containsText" text="YES!!!">
      <formula>NOT(ISERROR(SEARCH("YES!!!",AK46)))</formula>
    </cfRule>
  </conditionalFormatting>
  <conditionalFormatting sqref="AK41">
    <cfRule type="containsText" dxfId="67" priority="89" operator="containsText" text="Reject">
      <formula>NOT(ISERROR(SEARCH("Reject",AK41)))</formula>
    </cfRule>
  </conditionalFormatting>
  <conditionalFormatting sqref="AJ41">
    <cfRule type="containsText" dxfId="66" priority="91" operator="containsText" text="YES!!!">
      <formula>NOT(ISERROR(SEARCH("YES!!!",AJ41)))</formula>
    </cfRule>
  </conditionalFormatting>
  <conditionalFormatting sqref="AK41">
    <cfRule type="containsText" dxfId="65" priority="90" operator="containsText" text="YES!!!">
      <formula>NOT(ISERROR(SEARCH("YES!!!",AK41)))</formula>
    </cfRule>
  </conditionalFormatting>
  <conditionalFormatting sqref="AK35">
    <cfRule type="containsText" dxfId="64" priority="86" operator="containsText" text="Reject">
      <formula>NOT(ISERROR(SEARCH("Reject",AK35)))</formula>
    </cfRule>
  </conditionalFormatting>
  <conditionalFormatting sqref="AJ35">
    <cfRule type="containsText" dxfId="63" priority="88" operator="containsText" text="YES!!!">
      <formula>NOT(ISERROR(SEARCH("YES!!!",AJ35)))</formula>
    </cfRule>
  </conditionalFormatting>
  <conditionalFormatting sqref="AK35">
    <cfRule type="containsText" dxfId="62" priority="87" operator="containsText" text="YES!!!">
      <formula>NOT(ISERROR(SEARCH("YES!!!",AK35)))</formula>
    </cfRule>
  </conditionalFormatting>
  <conditionalFormatting sqref="AK28">
    <cfRule type="containsText" dxfId="61" priority="83" operator="containsText" text="Reject">
      <formula>NOT(ISERROR(SEARCH("Reject",AK28)))</formula>
    </cfRule>
  </conditionalFormatting>
  <conditionalFormatting sqref="AJ28">
    <cfRule type="containsText" dxfId="60" priority="85" operator="containsText" text="YES!!!">
      <formula>NOT(ISERROR(SEARCH("YES!!!",AJ28)))</formula>
    </cfRule>
  </conditionalFormatting>
  <conditionalFormatting sqref="AK28">
    <cfRule type="containsText" dxfId="59" priority="84" operator="containsText" text="YES!!!">
      <formula>NOT(ISERROR(SEARCH("YES!!!",AK28)))</formula>
    </cfRule>
  </conditionalFormatting>
  <conditionalFormatting sqref="AK91">
    <cfRule type="containsText" dxfId="58" priority="62" operator="containsText" text="Reject">
      <formula>NOT(ISERROR(SEARCH("Reject",AK91)))</formula>
    </cfRule>
  </conditionalFormatting>
  <conditionalFormatting sqref="AK12">
    <cfRule type="containsText" dxfId="57" priority="72" operator="containsText" text="YES!!!">
      <formula>NOT(ISERROR(SEARCH("YES!!!",AK12)))</formula>
    </cfRule>
  </conditionalFormatting>
  <conditionalFormatting sqref="AK91">
    <cfRule type="containsText" dxfId="56" priority="63" operator="containsText" text="YES!!!">
      <formula>NOT(ISERROR(SEARCH("YES!!!",AK91)))</formula>
    </cfRule>
  </conditionalFormatting>
  <conditionalFormatting sqref="AK19">
    <cfRule type="containsText" dxfId="55" priority="77" operator="containsText" text="Reject">
      <formula>NOT(ISERROR(SEARCH("Reject",AK19)))</formula>
    </cfRule>
  </conditionalFormatting>
  <conditionalFormatting sqref="AJ19">
    <cfRule type="containsText" dxfId="54" priority="79" operator="containsText" text="YES!!!">
      <formula>NOT(ISERROR(SEARCH("YES!!!",AJ19)))</formula>
    </cfRule>
  </conditionalFormatting>
  <conditionalFormatting sqref="AK19">
    <cfRule type="containsText" dxfId="53" priority="78" operator="containsText" text="YES!!!">
      <formula>NOT(ISERROR(SEARCH("YES!!!",AK19)))</formula>
    </cfRule>
  </conditionalFormatting>
  <conditionalFormatting sqref="AK14">
    <cfRule type="containsText" dxfId="52" priority="74" operator="containsText" text="Reject">
      <formula>NOT(ISERROR(SEARCH("Reject",AK14)))</formula>
    </cfRule>
  </conditionalFormatting>
  <conditionalFormatting sqref="AJ14">
    <cfRule type="containsText" dxfId="51" priority="76" operator="containsText" text="YES!!!">
      <formula>NOT(ISERROR(SEARCH("YES!!!",AJ14)))</formula>
    </cfRule>
  </conditionalFormatting>
  <conditionalFormatting sqref="AK14">
    <cfRule type="containsText" dxfId="50" priority="75" operator="containsText" text="YES!!!">
      <formula>NOT(ISERROR(SEARCH("YES!!!",AK14)))</formula>
    </cfRule>
  </conditionalFormatting>
  <conditionalFormatting sqref="AK12">
    <cfRule type="containsText" dxfId="49" priority="71" operator="containsText" text="Reject">
      <formula>NOT(ISERROR(SEARCH("Reject",AK12)))</formula>
    </cfRule>
  </conditionalFormatting>
  <conditionalFormatting sqref="AJ12">
    <cfRule type="containsText" dxfId="48" priority="73" operator="containsText" text="YES!!!">
      <formula>NOT(ISERROR(SEARCH("YES!!!",AJ12)))</formula>
    </cfRule>
  </conditionalFormatting>
  <conditionalFormatting sqref="AK30:AK34">
    <cfRule type="containsText" dxfId="47" priority="67" operator="containsText" text="YES!!!">
      <formula>NOT(ISERROR(SEARCH("YES!!!",AK30)))</formula>
    </cfRule>
  </conditionalFormatting>
  <conditionalFormatting sqref="AK30:AK34">
    <cfRule type="containsText" dxfId="46" priority="66" operator="containsText" text="Reject">
      <formula>NOT(ISERROR(SEARCH("Reject",AK30)))</formula>
    </cfRule>
  </conditionalFormatting>
  <conditionalFormatting sqref="AK90">
    <cfRule type="containsText" dxfId="45" priority="65" operator="containsText" text="YES!!!">
      <formula>NOT(ISERROR(SEARCH("YES!!!",AK90)))</formula>
    </cfRule>
  </conditionalFormatting>
  <conditionalFormatting sqref="AK90">
    <cfRule type="containsText" dxfId="44" priority="64" operator="containsText" text="Reject">
      <formula>NOT(ISERROR(SEARCH("Reject",AK90)))</formula>
    </cfRule>
  </conditionalFormatting>
  <conditionalFormatting sqref="AK92">
    <cfRule type="containsText" dxfId="43" priority="61" operator="containsText" text="YES!!!">
      <formula>NOT(ISERROR(SEARCH("YES!!!",AK92)))</formula>
    </cfRule>
  </conditionalFormatting>
  <conditionalFormatting sqref="AK92">
    <cfRule type="containsText" dxfId="42" priority="60" operator="containsText" text="Reject">
      <formula>NOT(ISERROR(SEARCH("Reject",AK92)))</formula>
    </cfRule>
  </conditionalFormatting>
  <conditionalFormatting sqref="O15:P16">
    <cfRule type="containsText" dxfId="41" priority="42" operator="containsText" text="YES!!!">
      <formula>NOT(ISERROR(SEARCH("YES!!!",O15)))</formula>
    </cfRule>
  </conditionalFormatting>
  <conditionalFormatting sqref="A15:K16">
    <cfRule type="containsText" dxfId="40" priority="41" operator="containsText" text="YES!!!">
      <formula>NOT(ISERROR(SEARCH("YES!!!",A15)))</formula>
    </cfRule>
  </conditionalFormatting>
  <conditionalFormatting sqref="AK36:AK37">
    <cfRule type="containsText" dxfId="39" priority="40" operator="containsText" text="YES!!!">
      <formula>NOT(ISERROR(SEARCH("YES!!!",AK36)))</formula>
    </cfRule>
  </conditionalFormatting>
  <conditionalFormatting sqref="AK36:AK37">
    <cfRule type="containsText" dxfId="38" priority="39" operator="containsText" text="Reject">
      <formula>NOT(ISERROR(SEARCH("Reject",AK36)))</formula>
    </cfRule>
  </conditionalFormatting>
  <conditionalFormatting sqref="AK18">
    <cfRule type="containsText" dxfId="37" priority="38" operator="containsText" text="YES!!!">
      <formula>NOT(ISERROR(SEARCH("YES!!!",AK18)))</formula>
    </cfRule>
  </conditionalFormatting>
  <conditionalFormatting sqref="AK18">
    <cfRule type="containsText" dxfId="36" priority="37" operator="containsText" text="Reject">
      <formula>NOT(ISERROR(SEARCH("Reject",AK18)))</formula>
    </cfRule>
  </conditionalFormatting>
  <conditionalFormatting sqref="AK17">
    <cfRule type="containsText" dxfId="35" priority="34" operator="containsText" text="Reject">
      <formula>NOT(ISERROR(SEARCH("Reject",AK17)))</formula>
    </cfRule>
  </conditionalFormatting>
  <conditionalFormatting sqref="AJ17">
    <cfRule type="containsText" dxfId="34" priority="36" operator="containsText" text="YES!!!">
      <formula>NOT(ISERROR(SEARCH("YES!!!",AJ17)))</formula>
    </cfRule>
  </conditionalFormatting>
  <conditionalFormatting sqref="AK17">
    <cfRule type="containsText" dxfId="33" priority="35" operator="containsText" text="YES!!!">
      <formula>NOT(ISERROR(SEARCH("YES!!!",AK17)))</formula>
    </cfRule>
  </conditionalFormatting>
  <conditionalFormatting sqref="AK22">
    <cfRule type="containsText" dxfId="32" priority="31" operator="containsText" text="Reject">
      <formula>NOT(ISERROR(SEARCH("Reject",AK22)))</formula>
    </cfRule>
  </conditionalFormatting>
  <conditionalFormatting sqref="AJ22">
    <cfRule type="containsText" dxfId="31" priority="33" operator="containsText" text="YES!!!">
      <formula>NOT(ISERROR(SEARCH("YES!!!",AJ22)))</formula>
    </cfRule>
  </conditionalFormatting>
  <conditionalFormatting sqref="AK22">
    <cfRule type="containsText" dxfId="30" priority="32" operator="containsText" text="YES!!!">
      <formula>NOT(ISERROR(SEARCH("YES!!!",AK22)))</formula>
    </cfRule>
  </conditionalFormatting>
  <conditionalFormatting sqref="AK25">
    <cfRule type="containsText" dxfId="29" priority="28" operator="containsText" text="Reject">
      <formula>NOT(ISERROR(SEARCH("Reject",AK25)))</formula>
    </cfRule>
  </conditionalFormatting>
  <conditionalFormatting sqref="AJ25">
    <cfRule type="containsText" dxfId="28" priority="30" operator="containsText" text="YES!!!">
      <formula>NOT(ISERROR(SEARCH("YES!!!",AJ25)))</formula>
    </cfRule>
  </conditionalFormatting>
  <conditionalFormatting sqref="AK25">
    <cfRule type="containsText" dxfId="27" priority="29" operator="containsText" text="YES!!!">
      <formula>NOT(ISERROR(SEARCH("YES!!!",AK25)))</formula>
    </cfRule>
  </conditionalFormatting>
  <conditionalFormatting sqref="AK23">
    <cfRule type="containsText" dxfId="26" priority="27" operator="containsText" text="YES!!!">
      <formula>NOT(ISERROR(SEARCH("YES!!!",AK23)))</formula>
    </cfRule>
  </conditionalFormatting>
  <conditionalFormatting sqref="AK23">
    <cfRule type="containsText" dxfId="25" priority="26" operator="containsText" text="Reject">
      <formula>NOT(ISERROR(SEARCH("Reject",AK23)))</formula>
    </cfRule>
  </conditionalFormatting>
  <conditionalFormatting sqref="AK24">
    <cfRule type="containsText" dxfId="24" priority="25" operator="containsText" text="YES!!!">
      <formula>NOT(ISERROR(SEARCH("YES!!!",AK24)))</formula>
    </cfRule>
  </conditionalFormatting>
  <conditionalFormatting sqref="AK24">
    <cfRule type="containsText" dxfId="23" priority="24" operator="containsText" text="Reject">
      <formula>NOT(ISERROR(SEARCH("Reject",AK24)))</formula>
    </cfRule>
  </conditionalFormatting>
  <conditionalFormatting sqref="AK65">
    <cfRule type="containsText" dxfId="22" priority="21" operator="containsText" text="Reject">
      <formula>NOT(ISERROR(SEARCH("Reject",AK65)))</formula>
    </cfRule>
  </conditionalFormatting>
  <conditionalFormatting sqref="AJ65">
    <cfRule type="containsText" dxfId="21" priority="23" operator="containsText" text="YES!!!">
      <formula>NOT(ISERROR(SEARCH("YES!!!",AJ65)))</formula>
    </cfRule>
  </conditionalFormatting>
  <conditionalFormatting sqref="AK65">
    <cfRule type="containsText" dxfId="20" priority="22" operator="containsText" text="YES!!!">
      <formula>NOT(ISERROR(SEARCH("YES!!!",AK65)))</formula>
    </cfRule>
  </conditionalFormatting>
  <conditionalFormatting sqref="AK67">
    <cfRule type="containsText" dxfId="19" priority="18" operator="containsText" text="Reject">
      <formula>NOT(ISERROR(SEARCH("Reject",AK67)))</formula>
    </cfRule>
  </conditionalFormatting>
  <conditionalFormatting sqref="AJ67">
    <cfRule type="containsText" dxfId="18" priority="20" operator="containsText" text="YES!!!">
      <formula>NOT(ISERROR(SEARCH("YES!!!",AJ67)))</formula>
    </cfRule>
  </conditionalFormatting>
  <conditionalFormatting sqref="AK67">
    <cfRule type="containsText" dxfId="17" priority="19" operator="containsText" text="YES!!!">
      <formula>NOT(ISERROR(SEARCH("YES!!!",AK67)))</formula>
    </cfRule>
  </conditionalFormatting>
  <conditionalFormatting sqref="AK66">
    <cfRule type="containsText" dxfId="16" priority="17" operator="containsText" text="YES!!!">
      <formula>NOT(ISERROR(SEARCH("YES!!!",AK66)))</formula>
    </cfRule>
  </conditionalFormatting>
  <conditionalFormatting sqref="AK66">
    <cfRule type="containsText" dxfId="15" priority="16" operator="containsText" text="Reject">
      <formula>NOT(ISERROR(SEARCH("Reject",AK66)))</formula>
    </cfRule>
  </conditionalFormatting>
  <conditionalFormatting sqref="AK84">
    <cfRule type="containsText" dxfId="14" priority="13" operator="containsText" text="Reject">
      <formula>NOT(ISERROR(SEARCH("Reject",AK84)))</formula>
    </cfRule>
  </conditionalFormatting>
  <conditionalFormatting sqref="AJ84">
    <cfRule type="containsText" dxfId="13" priority="15" operator="containsText" text="YES!!!">
      <formula>NOT(ISERROR(SEARCH("YES!!!",AJ84)))</formula>
    </cfRule>
  </conditionalFormatting>
  <conditionalFormatting sqref="AK84">
    <cfRule type="containsText" dxfId="12" priority="14" operator="containsText" text="YES!!!">
      <formula>NOT(ISERROR(SEARCH("YES!!!",AK84)))</formula>
    </cfRule>
  </conditionalFormatting>
  <conditionalFormatting sqref="AK86">
    <cfRule type="containsText" dxfId="11" priority="10" operator="containsText" text="Reject">
      <formula>NOT(ISERROR(SEARCH("Reject",AK86)))</formula>
    </cfRule>
  </conditionalFormatting>
  <conditionalFormatting sqref="AJ86">
    <cfRule type="containsText" dxfId="10" priority="12" operator="containsText" text="YES!!!">
      <formula>NOT(ISERROR(SEARCH("YES!!!",AJ86)))</formula>
    </cfRule>
  </conditionalFormatting>
  <conditionalFormatting sqref="AK86">
    <cfRule type="containsText" dxfId="9" priority="11" operator="containsText" text="YES!!!">
      <formula>NOT(ISERROR(SEARCH("YES!!!",AK86)))</formula>
    </cfRule>
  </conditionalFormatting>
  <conditionalFormatting sqref="AK85">
    <cfRule type="containsText" dxfId="8" priority="9" operator="containsText" text="YES!!!">
      <formula>NOT(ISERROR(SEARCH("YES!!!",AK85)))</formula>
    </cfRule>
  </conditionalFormatting>
  <conditionalFormatting sqref="AK85">
    <cfRule type="containsText" dxfId="7" priority="8" operator="containsText" text="Reject">
      <formula>NOT(ISERROR(SEARCH("Reject",AK85)))</formula>
    </cfRule>
  </conditionalFormatting>
  <conditionalFormatting sqref="AF15:AJ16">
    <cfRule type="containsText" dxfId="6" priority="7" operator="containsText" text="YES!!!">
      <formula>NOT(ISERROR(SEARCH("YES!!!",AF15)))</formula>
    </cfRule>
  </conditionalFormatting>
  <conditionalFormatting sqref="AL15:AT16">
    <cfRule type="containsText" dxfId="5" priority="6" operator="containsText" text="YES!!!">
      <formula>NOT(ISERROR(SEARCH("YES!!!",AL15)))</formula>
    </cfRule>
  </conditionalFormatting>
  <conditionalFormatting sqref="AX18:BD18">
    <cfRule type="containsText" dxfId="4" priority="5" operator="containsText" text="YES!!!">
      <formula>NOT(ISERROR(SEARCH("YES!!!",AX18)))</formula>
    </cfRule>
  </conditionalFormatting>
  <conditionalFormatting sqref="C89">
    <cfRule type="containsText" dxfId="3" priority="4" operator="containsText" text="YES!!!">
      <formula>NOT(ISERROR(SEARCH("YES!!!",C89)))</formula>
    </cfRule>
  </conditionalFormatting>
  <conditionalFormatting sqref="C94">
    <cfRule type="containsText" dxfId="2" priority="3" operator="containsText" text="YES!!!">
      <formula>NOT(ISERROR(SEARCH("YES!!!",C94)))</formula>
    </cfRule>
  </conditionalFormatting>
  <conditionalFormatting sqref="C98:C100">
    <cfRule type="containsText" dxfId="1" priority="2" operator="containsText" text="YES!!!">
      <formula>NOT(ISERROR(SEARCH("YES!!!",C98)))</formula>
    </cfRule>
  </conditionalFormatting>
  <conditionalFormatting sqref="A23:A24">
    <cfRule type="containsText" dxfId="0" priority="1" operator="containsText" text="YES!!!">
      <formula>NOT(ISERROR(SEARCH("YES!!!",A23)))</formula>
    </cfRule>
  </conditionalFormatting>
  <hyperlinks>
    <hyperlink ref="B33" location="'FW nonmetal nonplant_WS'!D7" display="'FW nonmetal nonplant_WS'!D7" xr:uid="{9E3CC72C-E2A3-4AB5-8893-93CECA477D17}"/>
    <hyperlink ref="B34" location="'FW nonmetal nonplant_WS'!D10" display="'FW nonmetal nonplant_WS'!D10" xr:uid="{D5217DD7-215F-488E-B662-169712D6CCFC}"/>
    <hyperlink ref="B36" location="'FW nonmetal nonplant_WS'!D19" display="'FW nonmetal nonplant_WS'!D19" xr:uid="{014BDACF-3957-4837-A17E-93035F157827}"/>
    <hyperlink ref="B37" location="'FW nonmetal nonplant_WS'!D22" display="'FW nonmetal nonplant_WS'!D22" xr:uid="{F8D448EA-2CCA-45F5-AE34-5B2088410D9B}"/>
  </hyperlinks>
  <pageMargins left="0.7" right="0.7" top="0.75" bottom="0.75" header="0.3" footer="0.3"/>
  <pageSetup paperSize="9" orientation="portrait"/>
  <headerFooter>
    <oddHeader>&amp;C&amp;"Calibri"&amp;12&amp;KFF0000 OFFICIAL&amp;1#_x000D_</oddHeader>
    <oddFooter>&amp;C_x000D_&amp;1#&amp;"Calibri"&amp;12&amp;KFF0000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A14FF-E0DC-4AB6-B61E-FA63E9D226F3}">
  <sheetPr codeName="Sheet2"/>
  <dimension ref="B3:O23"/>
  <sheetViews>
    <sheetView workbookViewId="0">
      <selection activeCell="O13" sqref="O13"/>
    </sheetView>
  </sheetViews>
  <sheetFormatPr defaultColWidth="8.85546875" defaultRowHeight="15"/>
  <cols>
    <col min="1" max="1" width="8.85546875" customWidth="1"/>
    <col min="2" max="5" width="24.7109375" customWidth="1"/>
    <col min="6" max="8" width="8.85546875" customWidth="1"/>
    <col min="9" max="11" width="22.28515625" customWidth="1"/>
  </cols>
  <sheetData>
    <row r="3" spans="2:15">
      <c r="B3" s="182" t="s">
        <v>76</v>
      </c>
      <c r="C3" s="182"/>
      <c r="D3" s="182"/>
      <c r="E3" s="182"/>
      <c r="I3" s="183" t="s">
        <v>77</v>
      </c>
      <c r="J3" s="183"/>
      <c r="K3" s="183"/>
      <c r="M3" s="46" t="s">
        <v>91</v>
      </c>
      <c r="N3" s="46"/>
      <c r="O3" s="46"/>
    </row>
    <row r="4" spans="2:15" ht="60">
      <c r="B4" s="26" t="s">
        <v>35</v>
      </c>
      <c r="C4" s="25" t="s">
        <v>12</v>
      </c>
      <c r="D4" s="25" t="s">
        <v>46</v>
      </c>
      <c r="E4" s="25" t="s">
        <v>14</v>
      </c>
      <c r="I4" s="37" t="s">
        <v>4</v>
      </c>
      <c r="J4" s="38" t="s">
        <v>108</v>
      </c>
      <c r="K4" s="38" t="s">
        <v>74</v>
      </c>
      <c r="M4" s="45" t="s">
        <v>92</v>
      </c>
      <c r="N4" s="45" t="s">
        <v>93</v>
      </c>
      <c r="O4" s="45" t="s">
        <v>94</v>
      </c>
    </row>
    <row r="5" spans="2:15">
      <c r="B5" s="29"/>
      <c r="C5" s="29" t="s">
        <v>25</v>
      </c>
      <c r="D5" s="29">
        <v>1</v>
      </c>
      <c r="E5" s="29" t="s">
        <v>19</v>
      </c>
      <c r="I5" s="39" t="s">
        <v>110</v>
      </c>
      <c r="J5" s="39">
        <v>2</v>
      </c>
      <c r="K5" s="39">
        <v>1</v>
      </c>
      <c r="M5" t="s">
        <v>62</v>
      </c>
      <c r="N5" t="s">
        <v>62</v>
      </c>
      <c r="O5">
        <v>1</v>
      </c>
    </row>
    <row r="6" spans="2:15">
      <c r="B6" s="29"/>
      <c r="C6" s="29" t="s">
        <v>47</v>
      </c>
      <c r="D6" s="29">
        <v>1</v>
      </c>
      <c r="E6" s="29" t="s">
        <v>19</v>
      </c>
      <c r="I6" s="39" t="s">
        <v>69</v>
      </c>
      <c r="J6" s="39">
        <v>3.5</v>
      </c>
      <c r="K6" s="39">
        <v>2</v>
      </c>
      <c r="M6" t="s">
        <v>87</v>
      </c>
      <c r="N6" t="s">
        <v>62</v>
      </c>
      <c r="O6">
        <v>1</v>
      </c>
    </row>
    <row r="7" spans="2:15">
      <c r="B7" s="29"/>
      <c r="C7" s="29" t="s">
        <v>21</v>
      </c>
      <c r="D7" s="29">
        <v>1</v>
      </c>
      <c r="E7" s="29" t="s">
        <v>19</v>
      </c>
      <c r="I7" s="39" t="s">
        <v>70</v>
      </c>
      <c r="J7" s="39">
        <v>6</v>
      </c>
      <c r="K7" s="39">
        <v>2</v>
      </c>
      <c r="M7" t="s">
        <v>61</v>
      </c>
      <c r="N7" t="s">
        <v>95</v>
      </c>
      <c r="O7">
        <v>1000</v>
      </c>
    </row>
    <row r="8" spans="2:15">
      <c r="B8" s="29"/>
      <c r="C8" s="29" t="s">
        <v>109</v>
      </c>
      <c r="D8" s="29">
        <v>1</v>
      </c>
      <c r="E8" s="29" t="s">
        <v>19</v>
      </c>
      <c r="I8" s="39" t="s">
        <v>71</v>
      </c>
      <c r="J8" s="39">
        <v>3</v>
      </c>
      <c r="K8" s="39" t="s">
        <v>228</v>
      </c>
      <c r="M8" t="s">
        <v>90</v>
      </c>
      <c r="N8" t="s">
        <v>62</v>
      </c>
      <c r="O8">
        <v>1000</v>
      </c>
    </row>
    <row r="9" spans="2:15">
      <c r="B9" s="29"/>
      <c r="C9" s="29" t="s">
        <v>65</v>
      </c>
      <c r="D9" s="29">
        <v>1</v>
      </c>
      <c r="E9" s="29" t="s">
        <v>19</v>
      </c>
      <c r="I9" s="39" t="s">
        <v>72</v>
      </c>
      <c r="J9" s="39">
        <v>4.5</v>
      </c>
      <c r="K9" s="39" t="s">
        <v>228</v>
      </c>
    </row>
    <row r="10" spans="2:15">
      <c r="B10" s="29"/>
      <c r="C10" s="29" t="s">
        <v>22</v>
      </c>
      <c r="D10" s="29">
        <v>2.5</v>
      </c>
      <c r="E10" s="29" t="s">
        <v>19</v>
      </c>
      <c r="I10" s="39" t="s">
        <v>73</v>
      </c>
      <c r="J10" s="39">
        <v>7</v>
      </c>
      <c r="K10" s="39">
        <v>4</v>
      </c>
    </row>
    <row r="11" spans="2:15">
      <c r="B11" s="29"/>
      <c r="C11" s="29" t="s">
        <v>229</v>
      </c>
      <c r="D11" s="29">
        <v>2.5</v>
      </c>
      <c r="E11" s="29" t="s">
        <v>19</v>
      </c>
    </row>
    <row r="12" spans="2:15">
      <c r="B12" s="29"/>
      <c r="C12" s="29" t="s">
        <v>211</v>
      </c>
      <c r="D12" s="29">
        <v>1</v>
      </c>
      <c r="E12" s="29" t="s">
        <v>19</v>
      </c>
    </row>
    <row r="13" spans="2:15">
      <c r="B13" s="29"/>
      <c r="C13" s="29" t="s">
        <v>165</v>
      </c>
      <c r="D13" s="29">
        <v>2.5</v>
      </c>
      <c r="E13" s="29" t="s">
        <v>19</v>
      </c>
    </row>
    <row r="14" spans="2:15">
      <c r="B14" s="29"/>
      <c r="C14" s="29" t="s">
        <v>66</v>
      </c>
      <c r="D14" s="29">
        <v>2.5</v>
      </c>
      <c r="E14" s="29" t="s">
        <v>19</v>
      </c>
    </row>
    <row r="15" spans="2:15">
      <c r="B15" s="29"/>
      <c r="C15" s="29" t="s">
        <v>15</v>
      </c>
      <c r="D15" s="29">
        <v>5</v>
      </c>
      <c r="E15" s="29" t="s">
        <v>19</v>
      </c>
    </row>
    <row r="16" spans="2:15">
      <c r="B16" s="29"/>
      <c r="C16" s="29" t="s">
        <v>52</v>
      </c>
      <c r="D16" s="29">
        <v>1</v>
      </c>
      <c r="E16" s="29" t="s">
        <v>19</v>
      </c>
    </row>
    <row r="17" spans="2:5">
      <c r="B17" s="29"/>
      <c r="C17" s="29" t="s">
        <v>20</v>
      </c>
      <c r="D17" s="29">
        <v>5</v>
      </c>
      <c r="E17" s="29" t="s">
        <v>19</v>
      </c>
    </row>
    <row r="18" spans="2:5">
      <c r="B18" s="29"/>
      <c r="C18" s="29" t="s">
        <v>53</v>
      </c>
      <c r="D18" s="29">
        <v>1</v>
      </c>
      <c r="E18" s="29" t="s">
        <v>19</v>
      </c>
    </row>
    <row r="19" spans="2:5">
      <c r="B19" s="29"/>
      <c r="C19" s="29" t="s">
        <v>54</v>
      </c>
      <c r="D19" s="29">
        <v>5</v>
      </c>
      <c r="E19" s="29" t="s">
        <v>19</v>
      </c>
    </row>
    <row r="20" spans="2:5" ht="26.25">
      <c r="B20" s="31" t="s">
        <v>49</v>
      </c>
      <c r="C20" s="28"/>
      <c r="D20" s="28"/>
      <c r="E20" s="30"/>
    </row>
    <row r="21" spans="2:5">
      <c r="B21" s="28"/>
      <c r="C21" s="32" t="s">
        <v>23</v>
      </c>
      <c r="D21" s="32" t="s">
        <v>13</v>
      </c>
      <c r="E21" s="33" t="s">
        <v>24</v>
      </c>
    </row>
    <row r="22" spans="2:5">
      <c r="B22" s="28"/>
      <c r="C22" s="29" t="s">
        <v>16</v>
      </c>
      <c r="D22" s="29">
        <v>1</v>
      </c>
      <c r="E22" s="29" t="s">
        <v>16</v>
      </c>
    </row>
    <row r="23" spans="2:5">
      <c r="B23" s="28"/>
      <c r="C23" s="29" t="s">
        <v>48</v>
      </c>
      <c r="D23" s="29">
        <v>2</v>
      </c>
      <c r="E23" s="29" t="s">
        <v>16</v>
      </c>
    </row>
  </sheetData>
  <mergeCells count="2">
    <mergeCell ref="B3:E3"/>
    <mergeCell ref="I3:K3"/>
  </mergeCells>
  <pageMargins left="0.7" right="0.7" top="0.75" bottom="0.75" header="0.3" footer="0.3"/>
  <pageSetup paperSize="9" orientation="portrait"/>
  <headerFooter>
    <oddHeader>&amp;C&amp;"Calibri"&amp;12&amp;KFF0000 OFFICIAL&amp;1#_x000D_</oddHeader>
    <oddFooter>&amp;C_x000D_&amp;1#&amp;"Calibri"&amp;12&amp;KFF0000 OFFICIAL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1B2BE74D025469E1D0E28F10DD2C8" ma:contentTypeVersion="6" ma:contentTypeDescription="Create a new document." ma:contentTypeScope="" ma:versionID="29ebb019d354d671b53245c09b1e2d80">
  <xsd:schema xmlns:xsd="http://www.w3.org/2001/XMLSchema" xmlns:xs="http://www.w3.org/2001/XMLSchema" xmlns:p="http://schemas.microsoft.com/office/2006/metadata/properties" xmlns:ns1="http://schemas.microsoft.com/sharepoint/v3" xmlns:ns2="b98728ac-f998-415c-abee-6b046fb1441e" xmlns:ns3="d869c146-c82e-4435-92e4-da91542262fd" xmlns:ns4="d81c2681-db7b-4a56-9abd-a3238a78f6b2" xmlns:ns5="a95247a4-6a6b-40fb-87b6-0fb2f012c536" targetNamespace="http://schemas.microsoft.com/office/2006/metadata/properties" ma:root="true" ma:fieldsID="25bdb6a5bc4ffbbe42be2b4704fa052c" ns1:_="" ns2:_="" ns3:_="" ns4:_="" ns5:_="">
    <xsd:import namespace="http://schemas.microsoft.com/sharepoint/v3"/>
    <xsd:import namespace="b98728ac-f998-415c-abee-6b046fb1441e"/>
    <xsd:import namespace="d869c146-c82e-4435-92e4-da91542262fd"/>
    <xsd:import namespace="d81c2681-db7b-4a56-9abd-a3238a78f6b2"/>
    <xsd:import namespace="a95247a4-6a6b-40fb-87b6-0fb2f012c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28ac-f998-415c-abee-6b046fb14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c146-c82e-4435-92e4-da9154226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c2681-db7b-4a56-9abd-a3238a78f6b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081d5d-8f15-4d39-99f9-175405a358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247a4-6a6b-40fb-87b6-0fb2f012c536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3ff4dd4-e1ac-40df-be8e-b1e036f80c8e}" ma:internalName="TaxCatchAll" ma:showField="CatchAllData" ma:web="a95247a4-6a6b-40fb-87b6-0fb2f012c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81c2681-db7b-4a56-9abd-a3238a78f6b2">
      <Terms xmlns="http://schemas.microsoft.com/office/infopath/2007/PartnerControls"/>
    </lcf76f155ced4ddcb4097134ff3c332f>
    <TaxCatchAll xmlns="a95247a4-6a6b-40fb-87b6-0fb2f012c536" xsi:nil="true"/>
  </documentManagement>
</p:properties>
</file>

<file path=customXml/itemProps1.xml><?xml version="1.0" encoding="utf-8"?>
<ds:datastoreItem xmlns:ds="http://schemas.openxmlformats.org/officeDocument/2006/customXml" ds:itemID="{019E91B8-CFC5-4F93-A486-EA3E70722BC4}"/>
</file>

<file path=customXml/itemProps2.xml><?xml version="1.0" encoding="utf-8"?>
<ds:datastoreItem xmlns:ds="http://schemas.openxmlformats.org/officeDocument/2006/customXml" ds:itemID="{476AE551-C919-4047-BB18-D5D1277484CC}"/>
</file>

<file path=customXml/itemProps3.xml><?xml version="1.0" encoding="utf-8"?>
<ds:datastoreItem xmlns:ds="http://schemas.openxmlformats.org/officeDocument/2006/customXml" ds:itemID="{24C41579-6730-4871-98CD-1738F93E362A}"/>
</file>

<file path=docMetadata/LabelInfo.xml><?xml version="1.0" encoding="utf-8"?>
<clbl:labelList xmlns:clbl="http://schemas.microsoft.com/office/2020/mipLabelMetadata">
  <clbl:label id="{06a1c6b2-52d5-49b7-9598-2998b6301fb2}" enabled="1" method="Privileged" siteId="{8c3c81bc-2b3c-44af-b3f7-6f620b3910ee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for derivation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Ametryn in freshwater, Toxicant default guideline values for protecting aquatic ecosystems, data table</dc:title>
  <dc:creator>Department of Climate Change, Energy, the Environment and Water</dc:creator>
  <cp:lastModifiedBy>Bec DURACK</cp:lastModifiedBy>
  <dcterms:created xsi:type="dcterms:W3CDTF">2015-04-23T00:03:59Z</dcterms:created>
  <dcterms:modified xsi:type="dcterms:W3CDTF">2024-10-03T05:21:54Z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a1c6b2-52d5-49b7-9598-2998b6301fb2_Enabled">
    <vt:lpwstr>true</vt:lpwstr>
  </property>
  <property fmtid="{D5CDD505-2E9C-101B-9397-08002B2CF9AE}" pid="3" name="MSIP_Label_06a1c6b2-52d5-49b7-9598-2998b6301fb2_SetDate">
    <vt:lpwstr>2024-10-03T05:21:54Z</vt:lpwstr>
  </property>
  <property fmtid="{D5CDD505-2E9C-101B-9397-08002B2CF9AE}" pid="4" name="MSIP_Label_06a1c6b2-52d5-49b7-9598-2998b6301fb2_Method">
    <vt:lpwstr>Standard</vt:lpwstr>
  </property>
  <property fmtid="{D5CDD505-2E9C-101B-9397-08002B2CF9AE}" pid="5" name="MSIP_Label_06a1c6b2-52d5-49b7-9598-2998b6301fb2_Name">
    <vt:lpwstr>-OFFICIAL</vt:lpwstr>
  </property>
  <property fmtid="{D5CDD505-2E9C-101B-9397-08002B2CF9AE}" pid="6" name="MSIP_Label_06a1c6b2-52d5-49b7-9598-2998b6301fb2_SiteId">
    <vt:lpwstr>8c3c81bc-2b3c-44af-b3f7-6f620b3910ee</vt:lpwstr>
  </property>
  <property fmtid="{D5CDD505-2E9C-101B-9397-08002B2CF9AE}" pid="7" name="MSIP_Label_06a1c6b2-52d5-49b7-9598-2998b6301fb2_ActionId">
    <vt:lpwstr>771b31da-c3d7-48c7-af9e-63b1f86a9f66</vt:lpwstr>
  </property>
  <property fmtid="{D5CDD505-2E9C-101B-9397-08002B2CF9AE}" pid="8" name="MSIP_Label_06a1c6b2-52d5-49b7-9598-2998b6301fb2_ContentBits">
    <vt:lpwstr>0</vt:lpwstr>
  </property>
  <property fmtid="{D5CDD505-2E9C-101B-9397-08002B2CF9AE}" pid="9" name="ContentTypeId">
    <vt:lpwstr>0x010100D001B2BE74D025469E1D0E28F10DD2C8</vt:lpwstr>
  </property>
</Properties>
</file>