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comments3.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rvd/Documents/WQadvice/Commercial/Projects/Current projects/ANZG DGVs assistance/ANZG funded DGVs/Approved - awaiting editing or noting/Ammonia fresh/August 2023/"/>
    </mc:Choice>
  </mc:AlternateContent>
  <xr:revisionPtr revIDLastSave="0" documentId="13_ncr:1_{99A3C64F-3EAF-7B48-A1AA-C890A5C6996A}" xr6:coauthVersionLast="47" xr6:coauthVersionMax="47" xr10:uidLastSave="{00000000-0000-0000-0000-000000000000}"/>
  <bookViews>
    <workbookView xWindow="7360" yWindow="3020" windowWidth="28600" windowHeight="16260" firstSheet="1" activeTab="8" xr2:uid="{10547F0B-627E-4890-AB5E-1CEF8E05004F}"/>
  </bookViews>
  <sheets>
    <sheet name="data set pH7 &amp; temp 20C" sheetId="11" r:id="rId1"/>
    <sheet name="invert data pH7 &amp; temp 10-30C" sheetId="15" r:id="rId2"/>
    <sheet name="PCx" sheetId="13" r:id="rId3"/>
    <sheet name="PCx at pH6-9" sheetId="16" r:id="rId4"/>
    <sheet name="AustNZ natural water pH" sheetId="10" r:id="rId5"/>
    <sheet name="References scored" sheetId="17" r:id="rId6"/>
    <sheet name="Calculation of toxicity values" sheetId="18" r:id="rId7"/>
    <sheet name="Ref #247 pH &amp; temp" sheetId="19" r:id="rId8"/>
    <sheet name="Table–% un-ionised" sheetId="20" r:id="rId9"/>
  </sheets>
  <definedNames>
    <definedName name="_xlnm._FilterDatabase" localSheetId="0" hidden="1">'data set pH7 &amp; temp 20C'!$A$4:$AC$149</definedName>
    <definedName name="_xlnm._FilterDatabase" localSheetId="1" hidden="1">'invert data pH7 &amp; temp 10-30C'!$A$4:$Y$19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4" i="16" l="1"/>
  <c r="AF47" i="20" l="1"/>
  <c r="AE47" i="20"/>
  <c r="AD47" i="20"/>
  <c r="AC47" i="20"/>
  <c r="AB47"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F46" i="20"/>
  <c r="AE46" i="20"/>
  <c r="AD46" i="20"/>
  <c r="AC46" i="20"/>
  <c r="AB46"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B45" i="20"/>
  <c r="AF44" i="20"/>
  <c r="AE44" i="20"/>
  <c r="AD44" i="20"/>
  <c r="AC44" i="20"/>
  <c r="AB44"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F43" i="20"/>
  <c r="AE43" i="20"/>
  <c r="AD43" i="20"/>
  <c r="AC43" i="20"/>
  <c r="AB43"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B43" i="20"/>
  <c r="AF42" i="20"/>
  <c r="AE42" i="20"/>
  <c r="AD42" i="20"/>
  <c r="AC42" i="20"/>
  <c r="AB42"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42" i="20"/>
  <c r="AF41" i="20"/>
  <c r="AE41" i="20"/>
  <c r="AD41" i="20"/>
  <c r="AC41" i="20"/>
  <c r="AB41" i="20"/>
  <c r="AA41" i="20"/>
  <c r="Z41" i="20"/>
  <c r="Y41" i="20"/>
  <c r="X41" i="20"/>
  <c r="W41" i="20"/>
  <c r="V41" i="20"/>
  <c r="U41" i="20"/>
  <c r="T41" i="20"/>
  <c r="S41" i="20"/>
  <c r="R41" i="20"/>
  <c r="Q41" i="20"/>
  <c r="P41" i="20"/>
  <c r="O41" i="20"/>
  <c r="N41" i="20"/>
  <c r="M41" i="20"/>
  <c r="L41" i="20"/>
  <c r="K41" i="20"/>
  <c r="J41" i="20"/>
  <c r="I41" i="20"/>
  <c r="H41" i="20"/>
  <c r="G41" i="20"/>
  <c r="F41" i="20"/>
  <c r="E41" i="20"/>
  <c r="D41" i="20"/>
  <c r="C41" i="20"/>
  <c r="B41" i="20"/>
  <c r="AF40" i="20"/>
  <c r="AE40" i="20"/>
  <c r="AD40" i="20"/>
  <c r="AC40" i="20"/>
  <c r="AB40"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F38" i="20"/>
  <c r="AE38" i="20"/>
  <c r="AD38" i="20"/>
  <c r="AC38" i="20"/>
  <c r="AB38"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F37" i="20"/>
  <c r="AE37" i="20"/>
  <c r="AD37" i="20"/>
  <c r="AC37" i="20"/>
  <c r="AB37" i="20"/>
  <c r="AA37" i="20"/>
  <c r="Z37" i="20"/>
  <c r="Y37" i="20"/>
  <c r="X37" i="20"/>
  <c r="W37" i="20"/>
  <c r="V37" i="20"/>
  <c r="U37" i="20"/>
  <c r="T37" i="20"/>
  <c r="S37" i="20"/>
  <c r="R37" i="20"/>
  <c r="Q37" i="20"/>
  <c r="P37" i="20"/>
  <c r="O37" i="20"/>
  <c r="N37" i="20"/>
  <c r="M37" i="20"/>
  <c r="L37" i="20"/>
  <c r="K37" i="20"/>
  <c r="J37" i="20"/>
  <c r="I37" i="20"/>
  <c r="H37" i="20"/>
  <c r="G37" i="20"/>
  <c r="F37" i="20"/>
  <c r="E37" i="20"/>
  <c r="D37" i="20"/>
  <c r="C37" i="20"/>
  <c r="B37"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D27" i="20"/>
  <c r="AC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B24" i="20"/>
  <c r="B23" i="20"/>
  <c r="B22" i="20"/>
  <c r="B21" i="20"/>
  <c r="B20" i="20"/>
  <c r="B19" i="20"/>
  <c r="B18" i="20"/>
  <c r="B17" i="20"/>
  <c r="B16" i="20"/>
  <c r="B15" i="20"/>
  <c r="B14" i="20"/>
  <c r="B13" i="20"/>
  <c r="B12" i="20"/>
  <c r="B11" i="20"/>
  <c r="B10" i="20"/>
  <c r="B9" i="20"/>
  <c r="B8" i="20"/>
  <c r="B7" i="20"/>
  <c r="B6" i="20"/>
  <c r="B5" i="20"/>
  <c r="B4" i="20"/>
  <c r="AF27" i="20" s="1"/>
  <c r="F128" i="19"/>
  <c r="E128" i="19"/>
  <c r="C128" i="19"/>
  <c r="B128" i="19"/>
  <c r="F127" i="19"/>
  <c r="E127" i="19"/>
  <c r="C127" i="19"/>
  <c r="B127" i="19"/>
  <c r="F126" i="19"/>
  <c r="E126" i="19"/>
  <c r="C126" i="19"/>
  <c r="B126" i="19"/>
  <c r="F125" i="19"/>
  <c r="E125" i="19"/>
  <c r="C125" i="19"/>
  <c r="B125" i="19"/>
  <c r="F124" i="19"/>
  <c r="E124" i="19"/>
  <c r="C124" i="19"/>
  <c r="B124" i="19"/>
  <c r="B184" i="18"/>
  <c r="C184" i="18" s="1"/>
  <c r="E184" i="18" s="1"/>
  <c r="F184" i="18" s="1"/>
  <c r="B183" i="18"/>
  <c r="C183" i="18" s="1"/>
  <c r="E183" i="18" s="1"/>
  <c r="F183" i="18" s="1"/>
  <c r="W182" i="18"/>
  <c r="S182" i="18"/>
  <c r="B182" i="18"/>
  <c r="C182" i="18" s="1"/>
  <c r="E182" i="18" s="1"/>
  <c r="F182" i="18" s="1"/>
  <c r="W181" i="18"/>
  <c r="S181" i="18"/>
  <c r="B181" i="18"/>
  <c r="C181" i="18" s="1"/>
  <c r="E181" i="18" s="1"/>
  <c r="F181" i="18" s="1"/>
  <c r="C180" i="18"/>
  <c r="E180" i="18" s="1"/>
  <c r="F180" i="18" s="1"/>
  <c r="B180" i="18"/>
  <c r="W179" i="18"/>
  <c r="B179" i="18"/>
  <c r="C179" i="18" s="1"/>
  <c r="E179" i="18" s="1"/>
  <c r="F179" i="18" s="1"/>
  <c r="B178" i="18"/>
  <c r="C178" i="18" s="1"/>
  <c r="E178" i="18" s="1"/>
  <c r="F178" i="18" s="1"/>
  <c r="P178" i="18" s="1"/>
  <c r="M178" i="18" s="1"/>
  <c r="B177" i="18"/>
  <c r="C177" i="18" s="1"/>
  <c r="E177" i="18" s="1"/>
  <c r="F177" i="18" s="1"/>
  <c r="W176" i="18"/>
  <c r="B176" i="18"/>
  <c r="C176" i="18" s="1"/>
  <c r="E176" i="18" s="1"/>
  <c r="F176" i="18" s="1"/>
  <c r="B175" i="18"/>
  <c r="C175" i="18" s="1"/>
  <c r="E175" i="18" s="1"/>
  <c r="F175" i="18" s="1"/>
  <c r="P175" i="18" s="1"/>
  <c r="M175" i="18" s="1"/>
  <c r="W174" i="18"/>
  <c r="C174" i="18"/>
  <c r="E174" i="18" s="1"/>
  <c r="F174" i="18" s="1"/>
  <c r="B174" i="18"/>
  <c r="W173" i="18"/>
  <c r="B173" i="18"/>
  <c r="C173" i="18" s="1"/>
  <c r="E173" i="18" s="1"/>
  <c r="F173" i="18" s="1"/>
  <c r="P172" i="18"/>
  <c r="M172" i="18" s="1"/>
  <c r="B172" i="18"/>
  <c r="C172" i="18" s="1"/>
  <c r="E172" i="18" s="1"/>
  <c r="F172" i="18" s="1"/>
  <c r="R172" i="18" s="1"/>
  <c r="O172" i="18" s="1"/>
  <c r="P171" i="18"/>
  <c r="W171" i="18" s="1"/>
  <c r="M171" i="18"/>
  <c r="B171" i="18"/>
  <c r="C171" i="18" s="1"/>
  <c r="E171" i="18" s="1"/>
  <c r="F171" i="18" s="1"/>
  <c r="B170" i="18"/>
  <c r="C170" i="18" s="1"/>
  <c r="E170" i="18" s="1"/>
  <c r="F170" i="18" s="1"/>
  <c r="R170" i="18" s="1"/>
  <c r="O170" i="18" s="1"/>
  <c r="E169" i="18"/>
  <c r="F169" i="18" s="1"/>
  <c r="P169" i="18" s="1"/>
  <c r="B169" i="18"/>
  <c r="C169" i="18" s="1"/>
  <c r="B168" i="18"/>
  <c r="C168" i="18" s="1"/>
  <c r="E168" i="18" s="1"/>
  <c r="F168" i="18" s="1"/>
  <c r="P168" i="18" s="1"/>
  <c r="W167" i="18"/>
  <c r="T167" i="18"/>
  <c r="B167" i="18"/>
  <c r="C167" i="18" s="1"/>
  <c r="E167" i="18" s="1"/>
  <c r="F167" i="18" s="1"/>
  <c r="T166" i="18"/>
  <c r="W166" i="18" s="1"/>
  <c r="C166" i="18"/>
  <c r="E166" i="18" s="1"/>
  <c r="F166" i="18" s="1"/>
  <c r="B166" i="18"/>
  <c r="W165" i="18"/>
  <c r="S165" i="18"/>
  <c r="B165" i="18"/>
  <c r="C165" i="18" s="1"/>
  <c r="E165" i="18" s="1"/>
  <c r="F165" i="18" s="1"/>
  <c r="T164" i="18"/>
  <c r="W164" i="18" s="1"/>
  <c r="B164" i="18"/>
  <c r="C164" i="18" s="1"/>
  <c r="E164" i="18" s="1"/>
  <c r="F164" i="18" s="1"/>
  <c r="T163" i="18"/>
  <c r="W163" i="18" s="1"/>
  <c r="C163" i="18"/>
  <c r="E163" i="18" s="1"/>
  <c r="F163" i="18" s="1"/>
  <c r="B163" i="18"/>
  <c r="W162" i="18"/>
  <c r="T162" i="18"/>
  <c r="B162" i="18"/>
  <c r="C162" i="18" s="1"/>
  <c r="E162" i="18" s="1"/>
  <c r="F162" i="18" s="1"/>
  <c r="T161" i="18"/>
  <c r="W161" i="18" s="1"/>
  <c r="C161" i="18"/>
  <c r="E161" i="18" s="1"/>
  <c r="F161" i="18" s="1"/>
  <c r="B161" i="18"/>
  <c r="T160" i="18"/>
  <c r="W160" i="18" s="1"/>
  <c r="Q160" i="18"/>
  <c r="N160" i="18" s="1"/>
  <c r="P160" i="18"/>
  <c r="M160" i="18" s="1"/>
  <c r="U160" i="18" s="1"/>
  <c r="O160" i="18"/>
  <c r="B160" i="18"/>
  <c r="C160" i="18" s="1"/>
  <c r="E160" i="18" s="1"/>
  <c r="F160" i="18" s="1"/>
  <c r="R160" i="18" s="1"/>
  <c r="T159" i="18"/>
  <c r="W159" i="18" s="1"/>
  <c r="B159" i="18"/>
  <c r="C159" i="18" s="1"/>
  <c r="E159" i="18" s="1"/>
  <c r="F159" i="18" s="1"/>
  <c r="T158" i="18"/>
  <c r="W158" i="18" s="1"/>
  <c r="B158" i="18"/>
  <c r="C158" i="18" s="1"/>
  <c r="E158" i="18" s="1"/>
  <c r="F158" i="18" s="1"/>
  <c r="P158" i="18" s="1"/>
  <c r="M158" i="18" s="1"/>
  <c r="U158" i="18" s="1"/>
  <c r="T157" i="18"/>
  <c r="W157" i="18" s="1"/>
  <c r="B157" i="18"/>
  <c r="C157" i="18" s="1"/>
  <c r="E157" i="18" s="1"/>
  <c r="F157" i="18" s="1"/>
  <c r="W156" i="18"/>
  <c r="T156" i="18"/>
  <c r="B156" i="18"/>
  <c r="C156" i="18" s="1"/>
  <c r="E156" i="18" s="1"/>
  <c r="F156" i="18" s="1"/>
  <c r="T155" i="18"/>
  <c r="W155" i="18" s="1"/>
  <c r="B155" i="18"/>
  <c r="C155" i="18" s="1"/>
  <c r="E155" i="18" s="1"/>
  <c r="F155" i="18" s="1"/>
  <c r="R155" i="18" s="1"/>
  <c r="O155" i="18" s="1"/>
  <c r="T154" i="18"/>
  <c r="W154" i="18" s="1"/>
  <c r="B154" i="18"/>
  <c r="C154" i="18" s="1"/>
  <c r="E154" i="18" s="1"/>
  <c r="F154" i="18" s="1"/>
  <c r="P154" i="18" s="1"/>
  <c r="M154" i="18" s="1"/>
  <c r="U154" i="18" s="1"/>
  <c r="T153" i="18"/>
  <c r="W153" i="18" s="1"/>
  <c r="B153" i="18"/>
  <c r="C153" i="18" s="1"/>
  <c r="E153" i="18" s="1"/>
  <c r="F153" i="18" s="1"/>
  <c r="P153" i="18" s="1"/>
  <c r="M153" i="18" s="1"/>
  <c r="U153" i="18" s="1"/>
  <c r="T152" i="18"/>
  <c r="W152" i="18" s="1"/>
  <c r="B152" i="18"/>
  <c r="C152" i="18" s="1"/>
  <c r="E152" i="18" s="1"/>
  <c r="F152" i="18" s="1"/>
  <c r="P152" i="18" s="1"/>
  <c r="M152" i="18" s="1"/>
  <c r="U152" i="18" s="1"/>
  <c r="W151" i="18"/>
  <c r="S151" i="18"/>
  <c r="B151" i="18"/>
  <c r="C151" i="18" s="1"/>
  <c r="E151" i="18" s="1"/>
  <c r="F151" i="18" s="1"/>
  <c r="W150" i="18"/>
  <c r="S150" i="18"/>
  <c r="B150" i="18"/>
  <c r="C150" i="18" s="1"/>
  <c r="E150" i="18" s="1"/>
  <c r="F150" i="18" s="1"/>
  <c r="W149" i="18"/>
  <c r="S149" i="18"/>
  <c r="B149" i="18"/>
  <c r="C149" i="18" s="1"/>
  <c r="E149" i="18" s="1"/>
  <c r="F149" i="18" s="1"/>
  <c r="W148" i="18"/>
  <c r="S148" i="18"/>
  <c r="B148" i="18"/>
  <c r="C148" i="18" s="1"/>
  <c r="E148" i="18" s="1"/>
  <c r="F148" i="18" s="1"/>
  <c r="W147" i="18"/>
  <c r="S147" i="18"/>
  <c r="B147" i="18"/>
  <c r="C147" i="18" s="1"/>
  <c r="E147" i="18" s="1"/>
  <c r="F147" i="18" s="1"/>
  <c r="T146" i="18"/>
  <c r="W146" i="18" s="1"/>
  <c r="B146" i="18"/>
  <c r="C146" i="18" s="1"/>
  <c r="E146" i="18" s="1"/>
  <c r="F146" i="18" s="1"/>
  <c r="W145" i="18"/>
  <c r="S145" i="18"/>
  <c r="B145" i="18"/>
  <c r="C145" i="18" s="1"/>
  <c r="E145" i="18" s="1"/>
  <c r="F145" i="18" s="1"/>
  <c r="W144" i="18"/>
  <c r="S144" i="18"/>
  <c r="E144" i="18"/>
  <c r="F144" i="18" s="1"/>
  <c r="B144" i="18"/>
  <c r="C144" i="18" s="1"/>
  <c r="W143" i="18"/>
  <c r="S143" i="18"/>
  <c r="B143" i="18"/>
  <c r="C143" i="18" s="1"/>
  <c r="E143" i="18" s="1"/>
  <c r="F143" i="18" s="1"/>
  <c r="W142" i="18"/>
  <c r="S142" i="18"/>
  <c r="P142" i="18"/>
  <c r="M142" i="18" s="1"/>
  <c r="U142" i="18" s="1"/>
  <c r="B142" i="18"/>
  <c r="C142" i="18" s="1"/>
  <c r="E142" i="18" s="1"/>
  <c r="F142" i="18" s="1"/>
  <c r="W141" i="18"/>
  <c r="S141" i="18"/>
  <c r="B141" i="18"/>
  <c r="C141" i="18" s="1"/>
  <c r="E141" i="18" s="1"/>
  <c r="F141" i="18" s="1"/>
  <c r="W140" i="18"/>
  <c r="S140" i="18"/>
  <c r="B140" i="18"/>
  <c r="C140" i="18" s="1"/>
  <c r="E140" i="18" s="1"/>
  <c r="F140" i="18" s="1"/>
  <c r="P140" i="18" s="1"/>
  <c r="M140" i="18" s="1"/>
  <c r="U140" i="18" s="1"/>
  <c r="W139" i="18"/>
  <c r="S139" i="18"/>
  <c r="B139" i="18"/>
  <c r="C139" i="18" s="1"/>
  <c r="E139" i="18" s="1"/>
  <c r="F139" i="18" s="1"/>
  <c r="W138" i="18"/>
  <c r="S138" i="18"/>
  <c r="B138" i="18"/>
  <c r="C138" i="18" s="1"/>
  <c r="E138" i="18" s="1"/>
  <c r="F138" i="18" s="1"/>
  <c r="W137" i="18"/>
  <c r="S137" i="18"/>
  <c r="B137" i="18"/>
  <c r="C137" i="18" s="1"/>
  <c r="E137" i="18" s="1"/>
  <c r="F137" i="18" s="1"/>
  <c r="P137" i="18" s="1"/>
  <c r="M137" i="18" s="1"/>
  <c r="U137" i="18" s="1"/>
  <c r="W136" i="18"/>
  <c r="S136" i="18"/>
  <c r="B136" i="18"/>
  <c r="C136" i="18" s="1"/>
  <c r="E136" i="18" s="1"/>
  <c r="F136" i="18" s="1"/>
  <c r="W135" i="18"/>
  <c r="S135" i="18"/>
  <c r="B135" i="18"/>
  <c r="C135" i="18" s="1"/>
  <c r="E135" i="18" s="1"/>
  <c r="F135" i="18" s="1"/>
  <c r="W134" i="18"/>
  <c r="S134" i="18"/>
  <c r="C134" i="18"/>
  <c r="E134" i="18" s="1"/>
  <c r="F134" i="18" s="1"/>
  <c r="B134" i="18"/>
  <c r="W133" i="18"/>
  <c r="S133" i="18"/>
  <c r="C133" i="18"/>
  <c r="E133" i="18" s="1"/>
  <c r="F133" i="18" s="1"/>
  <c r="B133" i="18"/>
  <c r="W132" i="18"/>
  <c r="S132" i="18"/>
  <c r="B132" i="18"/>
  <c r="C132" i="18" s="1"/>
  <c r="E132" i="18" s="1"/>
  <c r="F132" i="18" s="1"/>
  <c r="W131" i="18"/>
  <c r="B131" i="18"/>
  <c r="C131" i="18" s="1"/>
  <c r="E131" i="18" s="1"/>
  <c r="F131" i="18" s="1"/>
  <c r="W130" i="18"/>
  <c r="B130" i="18"/>
  <c r="C130" i="18" s="1"/>
  <c r="E130" i="18" s="1"/>
  <c r="F130" i="18" s="1"/>
  <c r="W129" i="18"/>
  <c r="S129" i="18"/>
  <c r="B129" i="18"/>
  <c r="C129" i="18" s="1"/>
  <c r="E129" i="18" s="1"/>
  <c r="F129" i="18" s="1"/>
  <c r="W128" i="18"/>
  <c r="S128" i="18"/>
  <c r="B128" i="18"/>
  <c r="C128" i="18" s="1"/>
  <c r="E128" i="18" s="1"/>
  <c r="F128" i="18" s="1"/>
  <c r="W127" i="18"/>
  <c r="S127" i="18"/>
  <c r="B127" i="18"/>
  <c r="C127" i="18" s="1"/>
  <c r="E127" i="18" s="1"/>
  <c r="F127" i="18" s="1"/>
  <c r="W126" i="18"/>
  <c r="S126" i="18"/>
  <c r="B126" i="18"/>
  <c r="C126" i="18" s="1"/>
  <c r="E126" i="18" s="1"/>
  <c r="F126" i="18" s="1"/>
  <c r="W125" i="18"/>
  <c r="E125" i="18"/>
  <c r="F125" i="18" s="1"/>
  <c r="C125" i="18"/>
  <c r="B125" i="18"/>
  <c r="W124" i="18"/>
  <c r="S124" i="18"/>
  <c r="B124" i="18"/>
  <c r="C124" i="18" s="1"/>
  <c r="E124" i="18" s="1"/>
  <c r="F124" i="18" s="1"/>
  <c r="P124" i="18" s="1"/>
  <c r="M124" i="18" s="1"/>
  <c r="U124" i="18" s="1"/>
  <c r="W123" i="18"/>
  <c r="S123" i="18"/>
  <c r="B123" i="18"/>
  <c r="C123" i="18" s="1"/>
  <c r="E123" i="18" s="1"/>
  <c r="F123" i="18" s="1"/>
  <c r="P123" i="18" s="1"/>
  <c r="M123" i="18" s="1"/>
  <c r="U123" i="18" s="1"/>
  <c r="W122" i="18"/>
  <c r="S122" i="18"/>
  <c r="B122" i="18"/>
  <c r="C122" i="18" s="1"/>
  <c r="E122" i="18" s="1"/>
  <c r="F122" i="18" s="1"/>
  <c r="P122" i="18" s="1"/>
  <c r="M122" i="18" s="1"/>
  <c r="U122" i="18" s="1"/>
  <c r="W121" i="18"/>
  <c r="S121" i="18"/>
  <c r="B121" i="18"/>
  <c r="C121" i="18" s="1"/>
  <c r="E121" i="18" s="1"/>
  <c r="F121" i="18" s="1"/>
  <c r="P121" i="18" s="1"/>
  <c r="M121" i="18" s="1"/>
  <c r="U121" i="18" s="1"/>
  <c r="W120" i="18"/>
  <c r="S120" i="18"/>
  <c r="B120" i="18"/>
  <c r="C120" i="18" s="1"/>
  <c r="E120" i="18" s="1"/>
  <c r="F120" i="18" s="1"/>
  <c r="P120" i="18" s="1"/>
  <c r="M120" i="18" s="1"/>
  <c r="U120" i="18" s="1"/>
  <c r="W119" i="18"/>
  <c r="S119" i="18"/>
  <c r="B119" i="18"/>
  <c r="C119" i="18" s="1"/>
  <c r="E119" i="18" s="1"/>
  <c r="F119" i="18" s="1"/>
  <c r="P119" i="18" s="1"/>
  <c r="M119" i="18" s="1"/>
  <c r="U119" i="18" s="1"/>
  <c r="W118" i="18"/>
  <c r="S118" i="18"/>
  <c r="P118" i="18"/>
  <c r="M118" i="18"/>
  <c r="U118" i="18" s="1"/>
  <c r="B118" i="18"/>
  <c r="C118" i="18" s="1"/>
  <c r="E118" i="18" s="1"/>
  <c r="F118" i="18" s="1"/>
  <c r="W117" i="18"/>
  <c r="S117" i="18"/>
  <c r="B117" i="18"/>
  <c r="C117" i="18" s="1"/>
  <c r="E117" i="18" s="1"/>
  <c r="F117" i="18" s="1"/>
  <c r="P117" i="18" s="1"/>
  <c r="M117" i="18" s="1"/>
  <c r="U117" i="18" s="1"/>
  <c r="W116" i="18"/>
  <c r="S116" i="18"/>
  <c r="B116" i="18"/>
  <c r="C116" i="18" s="1"/>
  <c r="E116" i="18" s="1"/>
  <c r="F116" i="18" s="1"/>
  <c r="P116" i="18" s="1"/>
  <c r="M116" i="18" s="1"/>
  <c r="U116" i="18" s="1"/>
  <c r="W115" i="18"/>
  <c r="S115" i="18"/>
  <c r="C115" i="18"/>
  <c r="E115" i="18" s="1"/>
  <c r="F115" i="18" s="1"/>
  <c r="P115" i="18" s="1"/>
  <c r="M115" i="18" s="1"/>
  <c r="U115" i="18" s="1"/>
  <c r="B115" i="18"/>
  <c r="W114" i="18"/>
  <c r="S114" i="18"/>
  <c r="E114" i="18"/>
  <c r="F114" i="18" s="1"/>
  <c r="P114" i="18" s="1"/>
  <c r="M114" i="18" s="1"/>
  <c r="U114" i="18" s="1"/>
  <c r="C114" i="18"/>
  <c r="B114" i="18"/>
  <c r="W113" i="18"/>
  <c r="S113" i="18"/>
  <c r="B113" i="18"/>
  <c r="C113" i="18" s="1"/>
  <c r="E113" i="18" s="1"/>
  <c r="F113" i="18" s="1"/>
  <c r="P113" i="18" s="1"/>
  <c r="M113" i="18" s="1"/>
  <c r="U113" i="18" s="1"/>
  <c r="W112" i="18"/>
  <c r="S112" i="18"/>
  <c r="B112" i="18"/>
  <c r="C112" i="18" s="1"/>
  <c r="E112" i="18" s="1"/>
  <c r="F112" i="18" s="1"/>
  <c r="P112" i="18" s="1"/>
  <c r="M112" i="18" s="1"/>
  <c r="U112" i="18" s="1"/>
  <c r="W111" i="18"/>
  <c r="S111" i="18"/>
  <c r="C111" i="18"/>
  <c r="E111" i="18" s="1"/>
  <c r="F111" i="18" s="1"/>
  <c r="P111" i="18" s="1"/>
  <c r="M111" i="18" s="1"/>
  <c r="U111" i="18" s="1"/>
  <c r="B111" i="18"/>
  <c r="W110" i="18"/>
  <c r="S110" i="18"/>
  <c r="B110" i="18"/>
  <c r="C110" i="18" s="1"/>
  <c r="E110" i="18" s="1"/>
  <c r="F110" i="18" s="1"/>
  <c r="P110" i="18" s="1"/>
  <c r="M110" i="18" s="1"/>
  <c r="U110" i="18" s="1"/>
  <c r="W109" i="18"/>
  <c r="S109" i="18"/>
  <c r="P109" i="18"/>
  <c r="M109" i="18" s="1"/>
  <c r="U109" i="18" s="1"/>
  <c r="B109" i="18"/>
  <c r="C109" i="18" s="1"/>
  <c r="E109" i="18" s="1"/>
  <c r="F109" i="18" s="1"/>
  <c r="W108" i="18"/>
  <c r="S108" i="18"/>
  <c r="C108" i="18"/>
  <c r="E108" i="18" s="1"/>
  <c r="F108" i="18" s="1"/>
  <c r="B108" i="18"/>
  <c r="W107" i="18"/>
  <c r="S107" i="18"/>
  <c r="B107" i="18"/>
  <c r="C107" i="18" s="1"/>
  <c r="E107" i="18" s="1"/>
  <c r="F107" i="18" s="1"/>
  <c r="P107" i="18" s="1"/>
  <c r="M107" i="18" s="1"/>
  <c r="U107" i="18" s="1"/>
  <c r="T106" i="18"/>
  <c r="W106" i="18" s="1"/>
  <c r="B106" i="18"/>
  <c r="C106" i="18" s="1"/>
  <c r="E106" i="18" s="1"/>
  <c r="F106" i="18" s="1"/>
  <c r="T105" i="18"/>
  <c r="W105" i="18" s="1"/>
  <c r="C105" i="18"/>
  <c r="E105" i="18" s="1"/>
  <c r="F105" i="18" s="1"/>
  <c r="B105" i="18"/>
  <c r="T104" i="18"/>
  <c r="W104" i="18" s="1"/>
  <c r="B104" i="18"/>
  <c r="C104" i="18" s="1"/>
  <c r="E104" i="18" s="1"/>
  <c r="F104" i="18" s="1"/>
  <c r="W103" i="18"/>
  <c r="T103" i="18"/>
  <c r="B103" i="18"/>
  <c r="C103" i="18" s="1"/>
  <c r="E103" i="18" s="1"/>
  <c r="F103" i="18" s="1"/>
  <c r="B102" i="18"/>
  <c r="C102" i="18" s="1"/>
  <c r="E102" i="18" s="1"/>
  <c r="F102" i="18" s="1"/>
  <c r="C101" i="18"/>
  <c r="E101" i="18" s="1"/>
  <c r="F101" i="18" s="1"/>
  <c r="B101" i="18"/>
  <c r="W100" i="18"/>
  <c r="T100" i="18"/>
  <c r="E100" i="18"/>
  <c r="F100" i="18" s="1"/>
  <c r="C100" i="18"/>
  <c r="B100" i="18"/>
  <c r="T99" i="18"/>
  <c r="W99" i="18" s="1"/>
  <c r="B99" i="18"/>
  <c r="C99" i="18" s="1"/>
  <c r="E99" i="18" s="1"/>
  <c r="F99" i="18" s="1"/>
  <c r="T98" i="18"/>
  <c r="W98" i="18" s="1"/>
  <c r="B98" i="18"/>
  <c r="C98" i="18" s="1"/>
  <c r="E98" i="18" s="1"/>
  <c r="F98" i="18" s="1"/>
  <c r="T97" i="18"/>
  <c r="W97" i="18" s="1"/>
  <c r="B97" i="18"/>
  <c r="C97" i="18" s="1"/>
  <c r="E97" i="18" s="1"/>
  <c r="F97" i="18" s="1"/>
  <c r="T96" i="18"/>
  <c r="W96" i="18" s="1"/>
  <c r="B96" i="18"/>
  <c r="C96" i="18" s="1"/>
  <c r="E96" i="18" s="1"/>
  <c r="F96" i="18" s="1"/>
  <c r="B95" i="18"/>
  <c r="C95" i="18" s="1"/>
  <c r="E95" i="18" s="1"/>
  <c r="F95" i="18" s="1"/>
  <c r="R95" i="18" s="1"/>
  <c r="O95" i="18" s="1"/>
  <c r="B94" i="18"/>
  <c r="C94" i="18" s="1"/>
  <c r="E94" i="18" s="1"/>
  <c r="F94" i="18" s="1"/>
  <c r="B93" i="18"/>
  <c r="C93" i="18" s="1"/>
  <c r="E93" i="18" s="1"/>
  <c r="F93" i="18" s="1"/>
  <c r="C92" i="18"/>
  <c r="E92" i="18" s="1"/>
  <c r="F92" i="18" s="1"/>
  <c r="B92" i="18"/>
  <c r="B91" i="18"/>
  <c r="C91" i="18" s="1"/>
  <c r="E91" i="18" s="1"/>
  <c r="F91" i="18" s="1"/>
  <c r="C90" i="18"/>
  <c r="E90" i="18" s="1"/>
  <c r="F90" i="18" s="1"/>
  <c r="B90" i="18"/>
  <c r="W89" i="18"/>
  <c r="S89" i="18"/>
  <c r="B89" i="18"/>
  <c r="C89" i="18" s="1"/>
  <c r="E89" i="18" s="1"/>
  <c r="F89" i="18" s="1"/>
  <c r="P89" i="18" s="1"/>
  <c r="M89" i="18" s="1"/>
  <c r="U89" i="18" s="1"/>
  <c r="W88" i="18"/>
  <c r="T88" i="18"/>
  <c r="C88" i="18"/>
  <c r="E88" i="18" s="1"/>
  <c r="F88" i="18" s="1"/>
  <c r="P88" i="18" s="1"/>
  <c r="M88" i="18" s="1"/>
  <c r="U88" i="18" s="1"/>
  <c r="B88" i="18"/>
  <c r="T87" i="18"/>
  <c r="W87" i="18" s="1"/>
  <c r="C87" i="18"/>
  <c r="E87" i="18" s="1"/>
  <c r="F87" i="18" s="1"/>
  <c r="P87" i="18" s="1"/>
  <c r="M87" i="18" s="1"/>
  <c r="U87" i="18" s="1"/>
  <c r="B87" i="18"/>
  <c r="T86" i="18"/>
  <c r="W86" i="18" s="1"/>
  <c r="B86" i="18"/>
  <c r="C86" i="18" s="1"/>
  <c r="E86" i="18" s="1"/>
  <c r="F86" i="18" s="1"/>
  <c r="P86" i="18" s="1"/>
  <c r="M86" i="18" s="1"/>
  <c r="U86" i="18" s="1"/>
  <c r="T85" i="18"/>
  <c r="W85" i="18" s="1"/>
  <c r="B85" i="18"/>
  <c r="C85" i="18" s="1"/>
  <c r="E85" i="18" s="1"/>
  <c r="F85" i="18" s="1"/>
  <c r="P85" i="18" s="1"/>
  <c r="M85" i="18" s="1"/>
  <c r="W84" i="18"/>
  <c r="T84" i="18"/>
  <c r="B84" i="18"/>
  <c r="C84" i="18" s="1"/>
  <c r="E84" i="18" s="1"/>
  <c r="F84" i="18" s="1"/>
  <c r="P84" i="18" s="1"/>
  <c r="M84" i="18" s="1"/>
  <c r="U84" i="18" s="1"/>
  <c r="T83" i="18"/>
  <c r="W83" i="18" s="1"/>
  <c r="B83" i="18"/>
  <c r="C83" i="18" s="1"/>
  <c r="E83" i="18" s="1"/>
  <c r="F83" i="18" s="1"/>
  <c r="P83" i="18" s="1"/>
  <c r="M83" i="18" s="1"/>
  <c r="U83" i="18" s="1"/>
  <c r="T82" i="18"/>
  <c r="W82" i="18" s="1"/>
  <c r="E82" i="18"/>
  <c r="F82" i="18" s="1"/>
  <c r="P82" i="18" s="1"/>
  <c r="M82" i="18" s="1"/>
  <c r="U82" i="18" s="1"/>
  <c r="C82" i="18"/>
  <c r="B82" i="18"/>
  <c r="T81" i="18"/>
  <c r="W81" i="18" s="1"/>
  <c r="B81" i="18"/>
  <c r="C81" i="18" s="1"/>
  <c r="E81" i="18" s="1"/>
  <c r="F81" i="18" s="1"/>
  <c r="P81" i="18" s="1"/>
  <c r="M81" i="18" s="1"/>
  <c r="U81" i="18" s="1"/>
  <c r="T80" i="18"/>
  <c r="W80" i="18" s="1"/>
  <c r="B80" i="18"/>
  <c r="C80" i="18" s="1"/>
  <c r="E80" i="18" s="1"/>
  <c r="F80" i="18" s="1"/>
  <c r="P80" i="18" s="1"/>
  <c r="M80" i="18" s="1"/>
  <c r="U80" i="18" s="1"/>
  <c r="W79" i="18"/>
  <c r="T79" i="18"/>
  <c r="B79" i="18"/>
  <c r="C79" i="18" s="1"/>
  <c r="E79" i="18" s="1"/>
  <c r="F79" i="18" s="1"/>
  <c r="P79" i="18" s="1"/>
  <c r="M79" i="18" s="1"/>
  <c r="U79" i="18" s="1"/>
  <c r="W78" i="18"/>
  <c r="T78" i="18"/>
  <c r="B78" i="18"/>
  <c r="C78" i="18" s="1"/>
  <c r="E78" i="18" s="1"/>
  <c r="F78" i="18" s="1"/>
  <c r="P78" i="18" s="1"/>
  <c r="M78" i="18" s="1"/>
  <c r="U78" i="18" s="1"/>
  <c r="T77" i="18"/>
  <c r="W77" i="18" s="1"/>
  <c r="B77" i="18"/>
  <c r="C77" i="18" s="1"/>
  <c r="E77" i="18" s="1"/>
  <c r="F77" i="18" s="1"/>
  <c r="P77" i="18" s="1"/>
  <c r="M77" i="18" s="1"/>
  <c r="U77" i="18" s="1"/>
  <c r="T76" i="18"/>
  <c r="W76" i="18" s="1"/>
  <c r="P76" i="18"/>
  <c r="M76" i="18" s="1"/>
  <c r="U76" i="18" s="1"/>
  <c r="C76" i="18"/>
  <c r="E76" i="18" s="1"/>
  <c r="F76" i="18" s="1"/>
  <c r="B76" i="18"/>
  <c r="T75" i="18"/>
  <c r="W75" i="18" s="1"/>
  <c r="P75" i="18"/>
  <c r="M75" i="18" s="1"/>
  <c r="U75" i="18" s="1"/>
  <c r="B75" i="18"/>
  <c r="C75" i="18" s="1"/>
  <c r="E75" i="18" s="1"/>
  <c r="F75" i="18" s="1"/>
  <c r="W74" i="18"/>
  <c r="T74" i="18"/>
  <c r="B74" i="18"/>
  <c r="C74" i="18" s="1"/>
  <c r="E74" i="18" s="1"/>
  <c r="F74" i="18" s="1"/>
  <c r="P74" i="18" s="1"/>
  <c r="M74" i="18" s="1"/>
  <c r="U74" i="18" s="1"/>
  <c r="W73" i="18"/>
  <c r="T73" i="18"/>
  <c r="B73" i="18"/>
  <c r="C73" i="18" s="1"/>
  <c r="E73" i="18" s="1"/>
  <c r="F73" i="18" s="1"/>
  <c r="P73" i="18" s="1"/>
  <c r="M73" i="18" s="1"/>
  <c r="U73" i="18" s="1"/>
  <c r="T72" i="18"/>
  <c r="W72" i="18" s="1"/>
  <c r="C72" i="18"/>
  <c r="E72" i="18" s="1"/>
  <c r="F72" i="18" s="1"/>
  <c r="P72" i="18" s="1"/>
  <c r="M72" i="18" s="1"/>
  <c r="U72" i="18" s="1"/>
  <c r="B72" i="18"/>
  <c r="T71" i="18"/>
  <c r="W71" i="18" s="1"/>
  <c r="B71" i="18"/>
  <c r="C71" i="18" s="1"/>
  <c r="E71" i="18" s="1"/>
  <c r="F71" i="18" s="1"/>
  <c r="P71" i="18" s="1"/>
  <c r="M71" i="18" s="1"/>
  <c r="U71" i="18" s="1"/>
  <c r="W70" i="18"/>
  <c r="S70" i="18"/>
  <c r="B70" i="18"/>
  <c r="C70" i="18" s="1"/>
  <c r="E70" i="18" s="1"/>
  <c r="F70" i="18" s="1"/>
  <c r="P70" i="18" s="1"/>
  <c r="M70" i="18" s="1"/>
  <c r="U70" i="18" s="1"/>
  <c r="W69" i="18"/>
  <c r="S69" i="18"/>
  <c r="C69" i="18"/>
  <c r="E69" i="18" s="1"/>
  <c r="F69" i="18" s="1"/>
  <c r="B69" i="18"/>
  <c r="W68" i="18"/>
  <c r="S68" i="18"/>
  <c r="C68" i="18"/>
  <c r="E68" i="18" s="1"/>
  <c r="F68" i="18" s="1"/>
  <c r="B68" i="18"/>
  <c r="W67" i="18"/>
  <c r="S67" i="18"/>
  <c r="B67" i="18"/>
  <c r="C67" i="18" s="1"/>
  <c r="E67" i="18" s="1"/>
  <c r="F67" i="18" s="1"/>
  <c r="B66" i="18"/>
  <c r="C66" i="18" s="1"/>
  <c r="E66" i="18" s="1"/>
  <c r="F66" i="18" s="1"/>
  <c r="W65" i="18"/>
  <c r="B65" i="18"/>
  <c r="C65" i="18" s="1"/>
  <c r="E65" i="18" s="1"/>
  <c r="F65" i="18" s="1"/>
  <c r="R64" i="18"/>
  <c r="Q64" i="18"/>
  <c r="P64" i="18"/>
  <c r="W64" i="18" s="1"/>
  <c r="O64" i="18"/>
  <c r="N64" i="18"/>
  <c r="M64" i="18"/>
  <c r="B64" i="18"/>
  <c r="C64" i="18" s="1"/>
  <c r="E64" i="18" s="1"/>
  <c r="F64" i="18" s="1"/>
  <c r="E63" i="18"/>
  <c r="F63" i="18" s="1"/>
  <c r="P63" i="18" s="1"/>
  <c r="C63" i="18"/>
  <c r="B63" i="18"/>
  <c r="R62" i="18"/>
  <c r="O62" i="18" s="1"/>
  <c r="E62" i="18"/>
  <c r="F62" i="18" s="1"/>
  <c r="P62" i="18" s="1"/>
  <c r="B62" i="18"/>
  <c r="C62" i="18" s="1"/>
  <c r="B61" i="18"/>
  <c r="C61" i="18" s="1"/>
  <c r="E61" i="18" s="1"/>
  <c r="F61" i="18" s="1"/>
  <c r="P61" i="18" s="1"/>
  <c r="B60" i="18"/>
  <c r="C60" i="18" s="1"/>
  <c r="E60" i="18" s="1"/>
  <c r="F60" i="18" s="1"/>
  <c r="P60" i="18" s="1"/>
  <c r="W59" i="18"/>
  <c r="C59" i="18"/>
  <c r="E59" i="18" s="1"/>
  <c r="F59" i="18" s="1"/>
  <c r="B59" i="18"/>
  <c r="C58" i="18"/>
  <c r="E58" i="18" s="1"/>
  <c r="F58" i="18" s="1"/>
  <c r="P58" i="18" s="1"/>
  <c r="B58" i="18"/>
  <c r="W56" i="18"/>
  <c r="S56" i="18"/>
  <c r="W55" i="18"/>
  <c r="S55" i="18"/>
  <c r="B55" i="18"/>
  <c r="C55" i="18" s="1"/>
  <c r="E55" i="18" s="1"/>
  <c r="F55" i="18" s="1"/>
  <c r="W54" i="18"/>
  <c r="S54" i="18"/>
  <c r="B54" i="18"/>
  <c r="C54" i="18" s="1"/>
  <c r="E54" i="18" s="1"/>
  <c r="F54" i="18" s="1"/>
  <c r="W53" i="18"/>
  <c r="S53" i="18"/>
  <c r="C53" i="18"/>
  <c r="E53" i="18" s="1"/>
  <c r="F53" i="18" s="1"/>
  <c r="B53" i="18"/>
  <c r="W52" i="18"/>
  <c r="S52" i="18"/>
  <c r="B52" i="18"/>
  <c r="C52" i="18" s="1"/>
  <c r="E52" i="18" s="1"/>
  <c r="F52" i="18" s="1"/>
  <c r="W51" i="18"/>
  <c r="S51" i="18"/>
  <c r="B51" i="18"/>
  <c r="C51" i="18" s="1"/>
  <c r="E51" i="18" s="1"/>
  <c r="F51" i="18" s="1"/>
  <c r="W50" i="18"/>
  <c r="S50" i="18"/>
  <c r="B50" i="18"/>
  <c r="C50" i="18" s="1"/>
  <c r="E50" i="18" s="1"/>
  <c r="F50" i="18" s="1"/>
  <c r="W49" i="18"/>
  <c r="S49" i="18"/>
  <c r="B49" i="18"/>
  <c r="C49" i="18" s="1"/>
  <c r="E49" i="18" s="1"/>
  <c r="F49" i="18" s="1"/>
  <c r="W48" i="18"/>
  <c r="S48" i="18"/>
  <c r="B48" i="18"/>
  <c r="C48" i="18" s="1"/>
  <c r="E48" i="18" s="1"/>
  <c r="F48" i="18" s="1"/>
  <c r="W47" i="18"/>
  <c r="S47" i="18"/>
  <c r="B47" i="18"/>
  <c r="C47" i="18" s="1"/>
  <c r="E47" i="18" s="1"/>
  <c r="F47" i="18" s="1"/>
  <c r="W46" i="18"/>
  <c r="S46" i="18"/>
  <c r="B46" i="18"/>
  <c r="C46" i="18" s="1"/>
  <c r="E46" i="18" s="1"/>
  <c r="F46" i="18" s="1"/>
  <c r="W45" i="18"/>
  <c r="S45" i="18"/>
  <c r="E45" i="18"/>
  <c r="F45" i="18" s="1"/>
  <c r="C45" i="18"/>
  <c r="B45" i="18"/>
  <c r="W44" i="18"/>
  <c r="S44" i="18"/>
  <c r="B44" i="18"/>
  <c r="C44" i="18" s="1"/>
  <c r="E44" i="18" s="1"/>
  <c r="F44" i="18" s="1"/>
  <c r="W43" i="18"/>
  <c r="S43" i="18"/>
  <c r="B43" i="18"/>
  <c r="C43" i="18" s="1"/>
  <c r="E43" i="18" s="1"/>
  <c r="F43" i="18" s="1"/>
  <c r="W42" i="18"/>
  <c r="S42" i="18"/>
  <c r="B42" i="18"/>
  <c r="C42" i="18" s="1"/>
  <c r="E42" i="18" s="1"/>
  <c r="F42" i="18" s="1"/>
  <c r="W41" i="18"/>
  <c r="S41" i="18"/>
  <c r="B41" i="18"/>
  <c r="C41" i="18" s="1"/>
  <c r="E41" i="18" s="1"/>
  <c r="F41" i="18" s="1"/>
  <c r="W40" i="18"/>
  <c r="S40" i="18"/>
  <c r="B40" i="18"/>
  <c r="C40" i="18" s="1"/>
  <c r="E40" i="18" s="1"/>
  <c r="F40" i="18" s="1"/>
  <c r="W39" i="18"/>
  <c r="S39" i="18"/>
  <c r="B39" i="18"/>
  <c r="C39" i="18" s="1"/>
  <c r="E39" i="18" s="1"/>
  <c r="F39" i="18" s="1"/>
  <c r="W38" i="18"/>
  <c r="S38" i="18"/>
  <c r="B38" i="18"/>
  <c r="C38" i="18" s="1"/>
  <c r="E38" i="18" s="1"/>
  <c r="F38" i="18" s="1"/>
  <c r="W37" i="18"/>
  <c r="S37" i="18"/>
  <c r="B37" i="18"/>
  <c r="C37" i="18" s="1"/>
  <c r="E37" i="18" s="1"/>
  <c r="F37" i="18" s="1"/>
  <c r="B35" i="18"/>
  <c r="C35" i="18" s="1"/>
  <c r="E35" i="18" s="1"/>
  <c r="F35" i="18" s="1"/>
  <c r="P35" i="18" s="1"/>
  <c r="B34" i="18"/>
  <c r="C34" i="18" s="1"/>
  <c r="E34" i="18" s="1"/>
  <c r="F34" i="18" s="1"/>
  <c r="P34" i="18" s="1"/>
  <c r="B33" i="18"/>
  <c r="C33" i="18" s="1"/>
  <c r="E33" i="18" s="1"/>
  <c r="F33" i="18" s="1"/>
  <c r="P33" i="18" s="1"/>
  <c r="B32" i="18"/>
  <c r="C32" i="18" s="1"/>
  <c r="E32" i="18" s="1"/>
  <c r="F32" i="18" s="1"/>
  <c r="P32" i="18" s="1"/>
  <c r="W31" i="18"/>
  <c r="S31" i="18"/>
  <c r="F31" i="18"/>
  <c r="P31" i="18" s="1"/>
  <c r="M31" i="18" s="1"/>
  <c r="U31" i="18" s="1"/>
  <c r="B31" i="18"/>
  <c r="C31" i="18" s="1"/>
  <c r="E31" i="18" s="1"/>
  <c r="W30" i="18"/>
  <c r="S30" i="18"/>
  <c r="E30" i="18"/>
  <c r="F30" i="18" s="1"/>
  <c r="P30" i="18" s="1"/>
  <c r="M30" i="18" s="1"/>
  <c r="U30" i="18" s="1"/>
  <c r="C30" i="18"/>
  <c r="B30" i="18"/>
  <c r="W29" i="18"/>
  <c r="S29" i="18"/>
  <c r="C29" i="18"/>
  <c r="E29" i="18" s="1"/>
  <c r="F29" i="18" s="1"/>
  <c r="P29" i="18" s="1"/>
  <c r="M29" i="18" s="1"/>
  <c r="U29" i="18" s="1"/>
  <c r="B29" i="18"/>
  <c r="W28" i="18"/>
  <c r="S28" i="18"/>
  <c r="B28" i="18"/>
  <c r="C28" i="18" s="1"/>
  <c r="E28" i="18" s="1"/>
  <c r="F28" i="18" s="1"/>
  <c r="P28" i="18" s="1"/>
  <c r="M28" i="18" s="1"/>
  <c r="U28" i="18" s="1"/>
  <c r="B27" i="18"/>
  <c r="C27" i="18" s="1"/>
  <c r="E27" i="18" s="1"/>
  <c r="F27" i="18" s="1"/>
  <c r="P27" i="18" s="1"/>
  <c r="B26" i="18"/>
  <c r="C26" i="18" s="1"/>
  <c r="E26" i="18" s="1"/>
  <c r="F26" i="18" s="1"/>
  <c r="P26" i="18" s="1"/>
  <c r="C25" i="18"/>
  <c r="E25" i="18" s="1"/>
  <c r="F25" i="18" s="1"/>
  <c r="P25" i="18" s="1"/>
  <c r="B25" i="18"/>
  <c r="B24" i="18"/>
  <c r="C24" i="18" s="1"/>
  <c r="E24" i="18" s="1"/>
  <c r="F24" i="18" s="1"/>
  <c r="P24" i="18" s="1"/>
  <c r="W23" i="18"/>
  <c r="S23" i="18"/>
  <c r="B23" i="18"/>
  <c r="C23" i="18" s="1"/>
  <c r="E23" i="18" s="1"/>
  <c r="F23" i="18" s="1"/>
  <c r="P23" i="18" s="1"/>
  <c r="M23" i="18" s="1"/>
  <c r="U23" i="18" s="1"/>
  <c r="W22" i="18"/>
  <c r="S22" i="18"/>
  <c r="B22" i="18"/>
  <c r="C22" i="18" s="1"/>
  <c r="E22" i="18" s="1"/>
  <c r="F22" i="18" s="1"/>
  <c r="P22" i="18" s="1"/>
  <c r="M22" i="18" s="1"/>
  <c r="U22" i="18" s="1"/>
  <c r="W21" i="18"/>
  <c r="S21" i="18"/>
  <c r="B21" i="18"/>
  <c r="C21" i="18" s="1"/>
  <c r="E21" i="18" s="1"/>
  <c r="F21" i="18" s="1"/>
  <c r="P21" i="18" s="1"/>
  <c r="M21" i="18" s="1"/>
  <c r="U21" i="18" s="1"/>
  <c r="W20" i="18"/>
  <c r="S20" i="18"/>
  <c r="B20" i="18"/>
  <c r="C20" i="18" s="1"/>
  <c r="E20" i="18" s="1"/>
  <c r="F20" i="18" s="1"/>
  <c r="P20" i="18" s="1"/>
  <c r="M20" i="18" s="1"/>
  <c r="U20" i="18" s="1"/>
  <c r="AA27" i="20" l="1"/>
  <c r="AB27" i="20"/>
  <c r="AE27" i="20"/>
  <c r="M26" i="18"/>
  <c r="W26" i="18"/>
  <c r="W25" i="18"/>
  <c r="M25" i="18"/>
  <c r="W33" i="18"/>
  <c r="M33" i="18"/>
  <c r="M24" i="18"/>
  <c r="W24" i="18"/>
  <c r="W34" i="18"/>
  <c r="M34" i="18"/>
  <c r="P66" i="18"/>
  <c r="R66" i="18"/>
  <c r="O66" i="18" s="1"/>
  <c r="Q66" i="18"/>
  <c r="N66" i="18" s="1"/>
  <c r="P91" i="18"/>
  <c r="Q91" i="18"/>
  <c r="N91" i="18" s="1"/>
  <c r="R91" i="18"/>
  <c r="O91" i="18" s="1"/>
  <c r="M60" i="18"/>
  <c r="W60" i="18"/>
  <c r="W27" i="18"/>
  <c r="M27" i="18"/>
  <c r="Q157" i="18"/>
  <c r="N157" i="18" s="1"/>
  <c r="P157" i="18"/>
  <c r="M157" i="18" s="1"/>
  <c r="U157" i="18" s="1"/>
  <c r="R157" i="18"/>
  <c r="O157" i="18" s="1"/>
  <c r="W32" i="18"/>
  <c r="M32" i="18"/>
  <c r="W61" i="18"/>
  <c r="M61" i="18"/>
  <c r="M35" i="18"/>
  <c r="W35" i="18"/>
  <c r="W58" i="18"/>
  <c r="M58" i="18"/>
  <c r="R92" i="18"/>
  <c r="O92" i="18" s="1"/>
  <c r="P92" i="18"/>
  <c r="R96" i="18"/>
  <c r="O96" i="18" s="1"/>
  <c r="Q96" i="18"/>
  <c r="N96" i="18" s="1"/>
  <c r="P96" i="18"/>
  <c r="M96" i="18" s="1"/>
  <c r="U96" i="18" s="1"/>
  <c r="R103" i="18"/>
  <c r="O103" i="18" s="1"/>
  <c r="P103" i="18"/>
  <c r="M103" i="18" s="1"/>
  <c r="U103" i="18" s="1"/>
  <c r="Q92" i="18"/>
  <c r="N92" i="18" s="1"/>
  <c r="R139" i="18"/>
  <c r="O139" i="18" s="1"/>
  <c r="Q139" i="18"/>
  <c r="N139" i="18" s="1"/>
  <c r="P139" i="18"/>
  <c r="M139" i="18" s="1"/>
  <c r="U139" i="18" s="1"/>
  <c r="R156" i="18"/>
  <c r="O156" i="18" s="1"/>
  <c r="Q156" i="18"/>
  <c r="N156" i="18" s="1"/>
  <c r="P156" i="18"/>
  <c r="M156" i="18" s="1"/>
  <c r="U156" i="18" s="1"/>
  <c r="R159" i="18"/>
  <c r="O159" i="18" s="1"/>
  <c r="Q159" i="18"/>
  <c r="N159" i="18" s="1"/>
  <c r="P159" i="18"/>
  <c r="M159" i="18" s="1"/>
  <c r="U159" i="18" s="1"/>
  <c r="W63" i="18"/>
  <c r="M63" i="18"/>
  <c r="R93" i="18"/>
  <c r="O93" i="18" s="1"/>
  <c r="Q93" i="18"/>
  <c r="N93" i="18" s="1"/>
  <c r="P93" i="18"/>
  <c r="R100" i="18"/>
  <c r="O100" i="18" s="1"/>
  <c r="Q100" i="18"/>
  <c r="N100" i="18" s="1"/>
  <c r="P100" i="18"/>
  <c r="M100" i="18" s="1"/>
  <c r="U100" i="18" s="1"/>
  <c r="Q104" i="18"/>
  <c r="N104" i="18" s="1"/>
  <c r="P104" i="18"/>
  <c r="M104" i="18" s="1"/>
  <c r="U104" i="18" s="1"/>
  <c r="R104" i="18"/>
  <c r="O104" i="18" s="1"/>
  <c r="R180" i="18"/>
  <c r="O180" i="18" s="1"/>
  <c r="Q180" i="18"/>
  <c r="N180" i="18" s="1"/>
  <c r="P180" i="18"/>
  <c r="R97" i="18"/>
  <c r="O97" i="18" s="1"/>
  <c r="Q97" i="18"/>
  <c r="N97" i="18" s="1"/>
  <c r="P97" i="18"/>
  <c r="M97" i="18" s="1"/>
  <c r="U97" i="18" s="1"/>
  <c r="P94" i="18"/>
  <c r="R94" i="18"/>
  <c r="O94" i="18" s="1"/>
  <c r="R105" i="18"/>
  <c r="O105" i="18" s="1"/>
  <c r="Q105" i="18"/>
  <c r="N105" i="18" s="1"/>
  <c r="P105" i="18"/>
  <c r="M105" i="18" s="1"/>
  <c r="U105" i="18" s="1"/>
  <c r="W178" i="18"/>
  <c r="Q94" i="18"/>
  <c r="N94" i="18" s="1"/>
  <c r="R98" i="18"/>
  <c r="O98" i="18" s="1"/>
  <c r="P98" i="18"/>
  <c r="M98" i="18" s="1"/>
  <c r="U98" i="18" s="1"/>
  <c r="Q98" i="18"/>
  <c r="N98" i="18" s="1"/>
  <c r="R101" i="18"/>
  <c r="O101" i="18" s="1"/>
  <c r="P101" i="18"/>
  <c r="W168" i="18"/>
  <c r="M168" i="18"/>
  <c r="Q90" i="18"/>
  <c r="N90" i="18" s="1"/>
  <c r="P90" i="18"/>
  <c r="R90" i="18"/>
  <c r="O90" i="18" s="1"/>
  <c r="W62" i="18"/>
  <c r="M62" i="18"/>
  <c r="R106" i="18"/>
  <c r="O106" i="18" s="1"/>
  <c r="Q106" i="18"/>
  <c r="N106" i="18" s="1"/>
  <c r="P106" i="18"/>
  <c r="M106" i="18" s="1"/>
  <c r="U106" i="18" s="1"/>
  <c r="R138" i="18"/>
  <c r="O138" i="18" s="1"/>
  <c r="Q138" i="18"/>
  <c r="N138" i="18" s="1"/>
  <c r="P138" i="18"/>
  <c r="M138" i="18" s="1"/>
  <c r="U138" i="18" s="1"/>
  <c r="R102" i="18"/>
  <c r="O102" i="18" s="1"/>
  <c r="P102" i="18"/>
  <c r="Q62" i="18"/>
  <c r="N62" i="18" s="1"/>
  <c r="U85" i="18"/>
  <c r="R99" i="18"/>
  <c r="O99" i="18" s="1"/>
  <c r="P99" i="18"/>
  <c r="M99" i="18" s="1"/>
  <c r="U99" i="18" s="1"/>
  <c r="Q99" i="18"/>
  <c r="N99" i="18" s="1"/>
  <c r="P141" i="18"/>
  <c r="M141" i="18" s="1"/>
  <c r="U141" i="18" s="1"/>
  <c r="Q141" i="18"/>
  <c r="N141" i="18" s="1"/>
  <c r="R141" i="18"/>
  <c r="O141" i="18" s="1"/>
  <c r="W169" i="18"/>
  <c r="M169" i="18"/>
  <c r="R177" i="18"/>
  <c r="O177" i="18" s="1"/>
  <c r="Q177" i="18"/>
  <c r="N177" i="18" s="1"/>
  <c r="Q172" i="18"/>
  <c r="N172" i="18" s="1"/>
  <c r="P177" i="18"/>
  <c r="P155" i="18"/>
  <c r="M155" i="18" s="1"/>
  <c r="U155" i="18" s="1"/>
  <c r="W175" i="18"/>
  <c r="P95" i="18"/>
  <c r="Q155" i="18"/>
  <c r="N155" i="18" s="1"/>
  <c r="P170" i="18"/>
  <c r="W172" i="18"/>
  <c r="Q95" i="18"/>
  <c r="N95" i="18" s="1"/>
  <c r="Q170" i="18"/>
  <c r="N170" i="18" s="1"/>
  <c r="M95" i="18" l="1"/>
  <c r="W95" i="18"/>
  <c r="W101" i="18"/>
  <c r="M101" i="18"/>
  <c r="W177" i="18"/>
  <c r="M177" i="18"/>
  <c r="M94" i="18"/>
  <c r="W94" i="18"/>
  <c r="W91" i="18"/>
  <c r="M91" i="18"/>
  <c r="M93" i="18"/>
  <c r="W93" i="18"/>
  <c r="M92" i="18"/>
  <c r="W92" i="18"/>
  <c r="W102" i="18"/>
  <c r="M102" i="18"/>
  <c r="W180" i="18"/>
  <c r="M180" i="18"/>
  <c r="M170" i="18"/>
  <c r="W170" i="18"/>
  <c r="M90" i="18"/>
  <c r="W90" i="18"/>
  <c r="W66" i="18"/>
  <c r="M66" i="18"/>
  <c r="N79" i="16" l="1"/>
  <c r="O79" i="16"/>
  <c r="P79" i="16"/>
  <c r="Q79" i="16"/>
  <c r="R79" i="16"/>
  <c r="S79" i="16"/>
  <c r="T79" i="16"/>
  <c r="U79" i="16"/>
  <c r="V79" i="16"/>
  <c r="W79" i="16"/>
  <c r="X79" i="16"/>
  <c r="Y79" i="16"/>
  <c r="Z79" i="16"/>
  <c r="AA79" i="16"/>
  <c r="AB79" i="16"/>
  <c r="AC79" i="16"/>
  <c r="AD79" i="16"/>
  <c r="AE79" i="16"/>
  <c r="AF79" i="16"/>
  <c r="N80" i="16"/>
  <c r="O80" i="16"/>
  <c r="P80" i="16"/>
  <c r="Q80" i="16"/>
  <c r="R80" i="16"/>
  <c r="S80" i="16"/>
  <c r="T80" i="16"/>
  <c r="U80" i="16"/>
  <c r="V80" i="16"/>
  <c r="W80" i="16"/>
  <c r="X80" i="16"/>
  <c r="Y80" i="16"/>
  <c r="Z80" i="16"/>
  <c r="AA80" i="16"/>
  <c r="AB80" i="16"/>
  <c r="AC80" i="16"/>
  <c r="AD80" i="16"/>
  <c r="AE80" i="16"/>
  <c r="AF80" i="16"/>
  <c r="N81" i="16"/>
  <c r="O81" i="16"/>
  <c r="P81" i="16"/>
  <c r="Q81" i="16"/>
  <c r="R81" i="16"/>
  <c r="S81" i="16"/>
  <c r="T81" i="16"/>
  <c r="U81" i="16"/>
  <c r="V81" i="16"/>
  <c r="W81" i="16"/>
  <c r="X81" i="16"/>
  <c r="Y81" i="16"/>
  <c r="Z81" i="16"/>
  <c r="AA81" i="16"/>
  <c r="AB81" i="16"/>
  <c r="AC81" i="16"/>
  <c r="AD81" i="16"/>
  <c r="AE81" i="16"/>
  <c r="AF81" i="16"/>
  <c r="N82" i="16"/>
  <c r="O82" i="16"/>
  <c r="P82" i="16"/>
  <c r="Q82" i="16"/>
  <c r="R82" i="16"/>
  <c r="S82" i="16"/>
  <c r="T82" i="16"/>
  <c r="U82" i="16"/>
  <c r="V82" i="16"/>
  <c r="W82" i="16"/>
  <c r="X82" i="16"/>
  <c r="Y82" i="16"/>
  <c r="Z82" i="16"/>
  <c r="AA82" i="16"/>
  <c r="AB82" i="16"/>
  <c r="AC82" i="16"/>
  <c r="AD82" i="16"/>
  <c r="AE82" i="16"/>
  <c r="AF82" i="16"/>
  <c r="N83" i="16"/>
  <c r="O83" i="16"/>
  <c r="P83" i="16"/>
  <c r="Q83" i="16"/>
  <c r="R83" i="16"/>
  <c r="S83" i="16"/>
  <c r="T83" i="16"/>
  <c r="U83" i="16"/>
  <c r="V83" i="16"/>
  <c r="W83" i="16"/>
  <c r="X83" i="16"/>
  <c r="Y83" i="16"/>
  <c r="Z83" i="16"/>
  <c r="AA83" i="16"/>
  <c r="AB83" i="16"/>
  <c r="AC83" i="16"/>
  <c r="AD83" i="16"/>
  <c r="AE83" i="16"/>
  <c r="AF83" i="16"/>
  <c r="N84" i="16"/>
  <c r="O84" i="16"/>
  <c r="P84" i="16"/>
  <c r="Q84" i="16"/>
  <c r="R84" i="16"/>
  <c r="S84" i="16"/>
  <c r="T84" i="16"/>
  <c r="U84" i="16"/>
  <c r="V84" i="16"/>
  <c r="W84" i="16"/>
  <c r="X84" i="16"/>
  <c r="Y84" i="16"/>
  <c r="Z84" i="16"/>
  <c r="AA84" i="16"/>
  <c r="AB84" i="16"/>
  <c r="AC84" i="16"/>
  <c r="AD84" i="16"/>
  <c r="AE84" i="16"/>
  <c r="AF84" i="16"/>
  <c r="N85" i="16"/>
  <c r="O85" i="16"/>
  <c r="P85" i="16"/>
  <c r="Q85" i="16"/>
  <c r="R85" i="16"/>
  <c r="S85" i="16"/>
  <c r="T85" i="16"/>
  <c r="U85" i="16"/>
  <c r="V85" i="16"/>
  <c r="W85" i="16"/>
  <c r="X85" i="16"/>
  <c r="Y85" i="16"/>
  <c r="Z85" i="16"/>
  <c r="AA85" i="16"/>
  <c r="AB85" i="16"/>
  <c r="AC85" i="16"/>
  <c r="AD85" i="16"/>
  <c r="AE85" i="16"/>
  <c r="AF85" i="16"/>
  <c r="N86" i="16"/>
  <c r="O86" i="16"/>
  <c r="P86" i="16"/>
  <c r="Q86" i="16"/>
  <c r="R86" i="16"/>
  <c r="S86" i="16"/>
  <c r="T86" i="16"/>
  <c r="U86" i="16"/>
  <c r="V86" i="16"/>
  <c r="W86" i="16"/>
  <c r="X86" i="16"/>
  <c r="Y86" i="16"/>
  <c r="Z86" i="16"/>
  <c r="AA86" i="16"/>
  <c r="AB86" i="16"/>
  <c r="AC86" i="16"/>
  <c r="AD86" i="16"/>
  <c r="AE86" i="16"/>
  <c r="AF86" i="16"/>
  <c r="N87" i="16"/>
  <c r="O87" i="16"/>
  <c r="P87" i="16"/>
  <c r="Q87" i="16"/>
  <c r="R87" i="16"/>
  <c r="S87" i="16"/>
  <c r="T87" i="16"/>
  <c r="U87" i="16"/>
  <c r="V87" i="16"/>
  <c r="W87" i="16"/>
  <c r="X87" i="16"/>
  <c r="Y87" i="16"/>
  <c r="Z87" i="16"/>
  <c r="AA87" i="16"/>
  <c r="AB87" i="16"/>
  <c r="AC87" i="16"/>
  <c r="AD87" i="16"/>
  <c r="AE87" i="16"/>
  <c r="AF87" i="16"/>
  <c r="N88" i="16"/>
  <c r="O88" i="16"/>
  <c r="P88" i="16"/>
  <c r="Q88" i="16"/>
  <c r="R88" i="16"/>
  <c r="S88" i="16"/>
  <c r="T88" i="16"/>
  <c r="U88" i="16"/>
  <c r="V88" i="16"/>
  <c r="W88" i="16"/>
  <c r="X88" i="16"/>
  <c r="Y88" i="16"/>
  <c r="Z88" i="16"/>
  <c r="AA88" i="16"/>
  <c r="AB88" i="16"/>
  <c r="AC88" i="16"/>
  <c r="AD88" i="16"/>
  <c r="AE88" i="16"/>
  <c r="AF88" i="16"/>
  <c r="N89" i="16"/>
  <c r="O89" i="16"/>
  <c r="P89" i="16"/>
  <c r="Q89" i="16"/>
  <c r="R89" i="16"/>
  <c r="S89" i="16"/>
  <c r="T89" i="16"/>
  <c r="U89" i="16"/>
  <c r="V89" i="16"/>
  <c r="W89" i="16"/>
  <c r="X89" i="16"/>
  <c r="Y89" i="16"/>
  <c r="Z89" i="16"/>
  <c r="AA89" i="16"/>
  <c r="AB89" i="16"/>
  <c r="AC89" i="16"/>
  <c r="AD89" i="16"/>
  <c r="AE89" i="16"/>
  <c r="AF89" i="16"/>
  <c r="N90" i="16"/>
  <c r="O90" i="16"/>
  <c r="P90" i="16"/>
  <c r="Q90" i="16"/>
  <c r="R90" i="16"/>
  <c r="S90" i="16"/>
  <c r="T90" i="16"/>
  <c r="U90" i="16"/>
  <c r="V90" i="16"/>
  <c r="W90" i="16"/>
  <c r="X90" i="16"/>
  <c r="Y90" i="16"/>
  <c r="Z90" i="16"/>
  <c r="AA90" i="16"/>
  <c r="AB90" i="16"/>
  <c r="AC90" i="16"/>
  <c r="AD90" i="16"/>
  <c r="AE90" i="16"/>
  <c r="AF90" i="16"/>
  <c r="N91" i="16"/>
  <c r="O91" i="16"/>
  <c r="P91" i="16"/>
  <c r="Q91" i="16"/>
  <c r="R91" i="16"/>
  <c r="S91" i="16"/>
  <c r="T91" i="16"/>
  <c r="U91" i="16"/>
  <c r="V91" i="16"/>
  <c r="W91" i="16"/>
  <c r="X91" i="16"/>
  <c r="Y91" i="16"/>
  <c r="Z91" i="16"/>
  <c r="AA91" i="16"/>
  <c r="AB91" i="16"/>
  <c r="AC91" i="16"/>
  <c r="AD91" i="16"/>
  <c r="AE91" i="16"/>
  <c r="AF91" i="16"/>
  <c r="N92" i="16"/>
  <c r="O92" i="16"/>
  <c r="P92" i="16"/>
  <c r="Q92" i="16"/>
  <c r="R92" i="16"/>
  <c r="S92" i="16"/>
  <c r="T92" i="16"/>
  <c r="U92" i="16"/>
  <c r="V92" i="16"/>
  <c r="W92" i="16"/>
  <c r="X92" i="16"/>
  <c r="Y92" i="16"/>
  <c r="Z92" i="16"/>
  <c r="AA92" i="16"/>
  <c r="AB92" i="16"/>
  <c r="AC92" i="16"/>
  <c r="AD92" i="16"/>
  <c r="AE92" i="16"/>
  <c r="AF92" i="16"/>
  <c r="N93" i="16"/>
  <c r="O93" i="16"/>
  <c r="P93" i="16"/>
  <c r="Q93" i="16"/>
  <c r="R93" i="16"/>
  <c r="S93" i="16"/>
  <c r="T93" i="16"/>
  <c r="U93" i="16"/>
  <c r="V93" i="16"/>
  <c r="W93" i="16"/>
  <c r="X93" i="16"/>
  <c r="Y93" i="16"/>
  <c r="Z93" i="16"/>
  <c r="AA93" i="16"/>
  <c r="AB93" i="16"/>
  <c r="AC93" i="16"/>
  <c r="AD93" i="16"/>
  <c r="AE93" i="16"/>
  <c r="AF93" i="16"/>
  <c r="N94" i="16"/>
  <c r="O94" i="16"/>
  <c r="P94" i="16"/>
  <c r="Q94" i="16"/>
  <c r="R94" i="16"/>
  <c r="S94" i="16"/>
  <c r="T94" i="16"/>
  <c r="U94" i="16"/>
  <c r="V94" i="16"/>
  <c r="W94" i="16"/>
  <c r="X94" i="16"/>
  <c r="Y94" i="16"/>
  <c r="Z94" i="16"/>
  <c r="AA94" i="16"/>
  <c r="AB94" i="16"/>
  <c r="AC94" i="16"/>
  <c r="AD94" i="16"/>
  <c r="AE94" i="16"/>
  <c r="AF94" i="16"/>
  <c r="N95" i="16"/>
  <c r="O95" i="16"/>
  <c r="P95" i="16"/>
  <c r="Q95" i="16"/>
  <c r="R95" i="16"/>
  <c r="S95" i="16"/>
  <c r="T95" i="16"/>
  <c r="U95" i="16"/>
  <c r="V95" i="16"/>
  <c r="W95" i="16"/>
  <c r="X95" i="16"/>
  <c r="Y95" i="16"/>
  <c r="Z95" i="16"/>
  <c r="AA95" i="16"/>
  <c r="AB95" i="16"/>
  <c r="AC95" i="16"/>
  <c r="AD95" i="16"/>
  <c r="AE95" i="16"/>
  <c r="AF95" i="16"/>
  <c r="N96" i="16"/>
  <c r="O96" i="16"/>
  <c r="P96" i="16"/>
  <c r="Q96" i="16"/>
  <c r="R96" i="16"/>
  <c r="S96" i="16"/>
  <c r="T96" i="16"/>
  <c r="U96" i="16"/>
  <c r="V96" i="16"/>
  <c r="W96" i="16"/>
  <c r="X96" i="16"/>
  <c r="Y96" i="16"/>
  <c r="Z96" i="16"/>
  <c r="AA96" i="16"/>
  <c r="AB96" i="16"/>
  <c r="AC96" i="16"/>
  <c r="AD96" i="16"/>
  <c r="AE96" i="16"/>
  <c r="AF96" i="16"/>
  <c r="N97" i="16"/>
  <c r="O97" i="16"/>
  <c r="P97" i="16"/>
  <c r="Q97" i="16"/>
  <c r="R97" i="16"/>
  <c r="S97" i="16"/>
  <c r="T97" i="16"/>
  <c r="U97" i="16"/>
  <c r="V97" i="16"/>
  <c r="W97" i="16"/>
  <c r="X97" i="16"/>
  <c r="Y97" i="16"/>
  <c r="Z97" i="16"/>
  <c r="AA97" i="16"/>
  <c r="AB97" i="16"/>
  <c r="AC97" i="16"/>
  <c r="AD97" i="16"/>
  <c r="AE97" i="16"/>
  <c r="AF97" i="16"/>
  <c r="N98" i="16"/>
  <c r="O98" i="16"/>
  <c r="P98" i="16"/>
  <c r="Q98" i="16"/>
  <c r="R98" i="16"/>
  <c r="S98" i="16"/>
  <c r="T98" i="16"/>
  <c r="U98" i="16"/>
  <c r="V98" i="16"/>
  <c r="W98" i="16"/>
  <c r="X98" i="16"/>
  <c r="Y98" i="16"/>
  <c r="Z98" i="16"/>
  <c r="AA98" i="16"/>
  <c r="AB98" i="16"/>
  <c r="AC98" i="16"/>
  <c r="AD98" i="16"/>
  <c r="AE98" i="16"/>
  <c r="AF98" i="16"/>
  <c r="N99" i="16"/>
  <c r="O99" i="16"/>
  <c r="P99" i="16"/>
  <c r="Q99" i="16"/>
  <c r="R99" i="16"/>
  <c r="S99" i="16"/>
  <c r="T99" i="16"/>
  <c r="U99" i="16"/>
  <c r="V99" i="16"/>
  <c r="W99" i="16"/>
  <c r="X99" i="16"/>
  <c r="Y99" i="16"/>
  <c r="Z99" i="16"/>
  <c r="AA99" i="16"/>
  <c r="AB99" i="16"/>
  <c r="AC99" i="16"/>
  <c r="AD99" i="16"/>
  <c r="AE99" i="16"/>
  <c r="AF99" i="16"/>
  <c r="M99" i="16"/>
  <c r="M98" i="16"/>
  <c r="M97" i="16"/>
  <c r="M96" i="16"/>
  <c r="M95" i="16"/>
  <c r="M94" i="16"/>
  <c r="M93" i="16"/>
  <c r="M92" i="16"/>
  <c r="M91" i="16"/>
  <c r="M90" i="16"/>
  <c r="M89" i="16"/>
  <c r="M88" i="16"/>
  <c r="M87" i="16"/>
  <c r="M86" i="16"/>
  <c r="M85" i="16"/>
  <c r="M84" i="16"/>
  <c r="M83" i="16"/>
  <c r="M82" i="16"/>
  <c r="M81" i="16"/>
  <c r="M80" i="16"/>
  <c r="M79" i="16"/>
  <c r="C79" i="16"/>
  <c r="D79" i="16"/>
  <c r="E79" i="16"/>
  <c r="F79" i="16"/>
  <c r="G79" i="16"/>
  <c r="H79" i="16"/>
  <c r="I79" i="16"/>
  <c r="J79" i="16"/>
  <c r="K79" i="16"/>
  <c r="C80" i="16"/>
  <c r="D80" i="16"/>
  <c r="E80" i="16"/>
  <c r="F80" i="16"/>
  <c r="G80" i="16"/>
  <c r="H80" i="16"/>
  <c r="I80" i="16"/>
  <c r="J80" i="16"/>
  <c r="K80" i="16"/>
  <c r="C81" i="16"/>
  <c r="D81" i="16"/>
  <c r="E81" i="16"/>
  <c r="F81" i="16"/>
  <c r="G81" i="16"/>
  <c r="H81" i="16"/>
  <c r="I81" i="16"/>
  <c r="J81" i="16"/>
  <c r="K81" i="16"/>
  <c r="C82" i="16"/>
  <c r="D82" i="16"/>
  <c r="E82" i="16"/>
  <c r="F82" i="16"/>
  <c r="G82" i="16"/>
  <c r="H82" i="16"/>
  <c r="I82" i="16"/>
  <c r="J82" i="16"/>
  <c r="K82" i="16"/>
  <c r="C83" i="16"/>
  <c r="D83" i="16"/>
  <c r="E83" i="16"/>
  <c r="F83" i="16"/>
  <c r="G83" i="16"/>
  <c r="H83" i="16"/>
  <c r="I83" i="16"/>
  <c r="J83" i="16"/>
  <c r="K83" i="16"/>
  <c r="C84" i="16"/>
  <c r="D84" i="16"/>
  <c r="E84" i="16"/>
  <c r="F84" i="16"/>
  <c r="G84" i="16"/>
  <c r="H84" i="16"/>
  <c r="I84" i="16"/>
  <c r="J84" i="16"/>
  <c r="K84" i="16"/>
  <c r="C85" i="16"/>
  <c r="D85" i="16"/>
  <c r="E85" i="16"/>
  <c r="F85" i="16"/>
  <c r="G85" i="16"/>
  <c r="H85" i="16"/>
  <c r="I85" i="16"/>
  <c r="J85" i="16"/>
  <c r="K85" i="16"/>
  <c r="C86" i="16"/>
  <c r="D86" i="16"/>
  <c r="E86" i="16"/>
  <c r="F86" i="16"/>
  <c r="G86" i="16"/>
  <c r="H86" i="16"/>
  <c r="I86" i="16"/>
  <c r="J86" i="16"/>
  <c r="K86" i="16"/>
  <c r="C87" i="16"/>
  <c r="D87" i="16"/>
  <c r="E87" i="16"/>
  <c r="F87" i="16"/>
  <c r="G87" i="16"/>
  <c r="H87" i="16"/>
  <c r="I87" i="16"/>
  <c r="J87" i="16"/>
  <c r="K87" i="16"/>
  <c r="C88" i="16"/>
  <c r="D88" i="16"/>
  <c r="E88" i="16"/>
  <c r="F88" i="16"/>
  <c r="G88" i="16"/>
  <c r="H88" i="16"/>
  <c r="I88" i="16"/>
  <c r="J88" i="16"/>
  <c r="K88" i="16"/>
  <c r="C89" i="16"/>
  <c r="D89" i="16"/>
  <c r="E89" i="16"/>
  <c r="F89" i="16"/>
  <c r="G89" i="16"/>
  <c r="H89" i="16"/>
  <c r="I89" i="16"/>
  <c r="J89" i="16"/>
  <c r="K89" i="16"/>
  <c r="C90" i="16"/>
  <c r="D90" i="16"/>
  <c r="E90" i="16"/>
  <c r="F90" i="16"/>
  <c r="G90" i="16"/>
  <c r="H90" i="16"/>
  <c r="I90" i="16"/>
  <c r="J90" i="16"/>
  <c r="K90" i="16"/>
  <c r="C91" i="16"/>
  <c r="D91" i="16"/>
  <c r="E91" i="16"/>
  <c r="F91" i="16"/>
  <c r="G91" i="16"/>
  <c r="H91" i="16"/>
  <c r="I91" i="16"/>
  <c r="J91" i="16"/>
  <c r="K91" i="16"/>
  <c r="C92" i="16"/>
  <c r="D92" i="16"/>
  <c r="E92" i="16"/>
  <c r="F92" i="16"/>
  <c r="G92" i="16"/>
  <c r="H92" i="16"/>
  <c r="I92" i="16"/>
  <c r="J92" i="16"/>
  <c r="K92" i="16"/>
  <c r="C93" i="16"/>
  <c r="D93" i="16"/>
  <c r="E93" i="16"/>
  <c r="F93" i="16"/>
  <c r="G93" i="16"/>
  <c r="H93" i="16"/>
  <c r="I93" i="16"/>
  <c r="J93" i="16"/>
  <c r="K93" i="16"/>
  <c r="C94" i="16"/>
  <c r="D94" i="16"/>
  <c r="E94" i="16"/>
  <c r="F94" i="16"/>
  <c r="G94" i="16"/>
  <c r="H94" i="16"/>
  <c r="I94" i="16"/>
  <c r="J94" i="16"/>
  <c r="K94" i="16"/>
  <c r="C95" i="16"/>
  <c r="D95" i="16"/>
  <c r="E95" i="16"/>
  <c r="F95" i="16"/>
  <c r="G95" i="16"/>
  <c r="H95" i="16"/>
  <c r="I95" i="16"/>
  <c r="J95" i="16"/>
  <c r="K95" i="16"/>
  <c r="C96" i="16"/>
  <c r="D96" i="16"/>
  <c r="E96" i="16"/>
  <c r="F96" i="16"/>
  <c r="G96" i="16"/>
  <c r="H96" i="16"/>
  <c r="I96" i="16"/>
  <c r="J96" i="16"/>
  <c r="K96" i="16"/>
  <c r="C97" i="16"/>
  <c r="D97" i="16"/>
  <c r="E97" i="16"/>
  <c r="F97" i="16"/>
  <c r="G97" i="16"/>
  <c r="H97" i="16"/>
  <c r="I97" i="16"/>
  <c r="J97" i="16"/>
  <c r="K97" i="16"/>
  <c r="C98" i="16"/>
  <c r="D98" i="16"/>
  <c r="E98" i="16"/>
  <c r="F98" i="16"/>
  <c r="G98" i="16"/>
  <c r="H98" i="16"/>
  <c r="I98" i="16"/>
  <c r="J98" i="16"/>
  <c r="K98" i="16"/>
  <c r="C99" i="16"/>
  <c r="D99" i="16"/>
  <c r="E99" i="16"/>
  <c r="F99" i="16"/>
  <c r="G99" i="16"/>
  <c r="H99" i="16"/>
  <c r="I99" i="16"/>
  <c r="J99" i="16"/>
  <c r="K99" i="16"/>
  <c r="B99" i="16"/>
  <c r="B98" i="16"/>
  <c r="B97" i="16"/>
  <c r="B96" i="16"/>
  <c r="B95" i="16"/>
  <c r="B94" i="16"/>
  <c r="B93" i="16"/>
  <c r="B92" i="16"/>
  <c r="B91" i="16"/>
  <c r="B90" i="16"/>
  <c r="B89" i="16"/>
  <c r="B88" i="16"/>
  <c r="B87" i="16"/>
  <c r="B86" i="16"/>
  <c r="B85" i="16"/>
  <c r="B84" i="16"/>
  <c r="B83" i="16"/>
  <c r="B82" i="16"/>
  <c r="B81" i="16"/>
  <c r="B80" i="16"/>
  <c r="B79" i="16"/>
  <c r="N54" i="16"/>
  <c r="O54" i="16"/>
  <c r="P54" i="16"/>
  <c r="Q54" i="16"/>
  <c r="R54" i="16"/>
  <c r="S54" i="16"/>
  <c r="T54" i="16"/>
  <c r="U54" i="16"/>
  <c r="V54" i="16"/>
  <c r="W54" i="16"/>
  <c r="X54" i="16"/>
  <c r="Y54" i="16"/>
  <c r="Z54" i="16"/>
  <c r="AA54" i="16"/>
  <c r="AB54" i="16"/>
  <c r="AC54" i="16"/>
  <c r="AD54" i="16"/>
  <c r="AE54" i="16"/>
  <c r="AF54" i="16"/>
  <c r="N55" i="16"/>
  <c r="O55" i="16"/>
  <c r="P55" i="16"/>
  <c r="Q55" i="16"/>
  <c r="R55" i="16"/>
  <c r="S55" i="16"/>
  <c r="T55" i="16"/>
  <c r="U55" i="16"/>
  <c r="V55" i="16"/>
  <c r="W55" i="16"/>
  <c r="X55" i="16"/>
  <c r="Y55" i="16"/>
  <c r="Z55" i="16"/>
  <c r="AA55" i="16"/>
  <c r="AB55" i="16"/>
  <c r="AC55" i="16"/>
  <c r="AD55" i="16"/>
  <c r="AE55" i="16"/>
  <c r="AF55" i="16"/>
  <c r="N56" i="16"/>
  <c r="O56" i="16"/>
  <c r="P56" i="16"/>
  <c r="Q56" i="16"/>
  <c r="R56" i="16"/>
  <c r="S56" i="16"/>
  <c r="T56" i="16"/>
  <c r="U56" i="16"/>
  <c r="V56" i="16"/>
  <c r="W56" i="16"/>
  <c r="X56" i="16"/>
  <c r="Y56" i="16"/>
  <c r="Z56" i="16"/>
  <c r="AA56" i="16"/>
  <c r="AB56" i="16"/>
  <c r="AC56" i="16"/>
  <c r="AD56" i="16"/>
  <c r="AE56" i="16"/>
  <c r="AF56" i="16"/>
  <c r="N57" i="16"/>
  <c r="O57" i="16"/>
  <c r="P57" i="16"/>
  <c r="Q57" i="16"/>
  <c r="R57" i="16"/>
  <c r="S57" i="16"/>
  <c r="T57" i="16"/>
  <c r="U57" i="16"/>
  <c r="V57" i="16"/>
  <c r="W57" i="16"/>
  <c r="X57" i="16"/>
  <c r="Y57" i="16"/>
  <c r="Z57" i="16"/>
  <c r="AA57" i="16"/>
  <c r="AB57" i="16"/>
  <c r="AC57" i="16"/>
  <c r="AD57" i="16"/>
  <c r="AE57" i="16"/>
  <c r="AF57" i="16"/>
  <c r="N58" i="16"/>
  <c r="O58" i="16"/>
  <c r="P58" i="16"/>
  <c r="Q58" i="16"/>
  <c r="R58" i="16"/>
  <c r="S58" i="16"/>
  <c r="T58" i="16"/>
  <c r="U58" i="16"/>
  <c r="V58" i="16"/>
  <c r="W58" i="16"/>
  <c r="X58" i="16"/>
  <c r="Y58" i="16"/>
  <c r="Z58" i="16"/>
  <c r="AA58" i="16"/>
  <c r="AB58" i="16"/>
  <c r="AC58" i="16"/>
  <c r="AD58" i="16"/>
  <c r="AE58" i="16"/>
  <c r="AF58" i="16"/>
  <c r="N59" i="16"/>
  <c r="O59" i="16"/>
  <c r="P59" i="16"/>
  <c r="Q59" i="16"/>
  <c r="R59" i="16"/>
  <c r="S59" i="16"/>
  <c r="T59" i="16"/>
  <c r="U59" i="16"/>
  <c r="V59" i="16"/>
  <c r="W59" i="16"/>
  <c r="X59" i="16"/>
  <c r="Y59" i="16"/>
  <c r="Z59" i="16"/>
  <c r="AA59" i="16"/>
  <c r="AB59" i="16"/>
  <c r="AC59" i="16"/>
  <c r="AD59" i="16"/>
  <c r="AE59" i="16"/>
  <c r="AF59" i="16"/>
  <c r="N60" i="16"/>
  <c r="O60" i="16"/>
  <c r="P60" i="16"/>
  <c r="Q60" i="16"/>
  <c r="R60" i="16"/>
  <c r="S60" i="16"/>
  <c r="T60" i="16"/>
  <c r="U60" i="16"/>
  <c r="V60" i="16"/>
  <c r="W60" i="16"/>
  <c r="X60" i="16"/>
  <c r="Y60" i="16"/>
  <c r="Z60" i="16"/>
  <c r="AA60" i="16"/>
  <c r="AB60" i="16"/>
  <c r="AC60" i="16"/>
  <c r="AD60" i="16"/>
  <c r="AE60" i="16"/>
  <c r="AF60" i="16"/>
  <c r="N61" i="16"/>
  <c r="O61" i="16"/>
  <c r="P61" i="16"/>
  <c r="Q61" i="16"/>
  <c r="R61" i="16"/>
  <c r="S61" i="16"/>
  <c r="T61" i="16"/>
  <c r="U61" i="16"/>
  <c r="V61" i="16"/>
  <c r="W61" i="16"/>
  <c r="X61" i="16"/>
  <c r="Y61" i="16"/>
  <c r="Z61" i="16"/>
  <c r="AA61" i="16"/>
  <c r="AB61" i="16"/>
  <c r="AC61" i="16"/>
  <c r="AD61" i="16"/>
  <c r="AE61" i="16"/>
  <c r="AF61" i="16"/>
  <c r="N62" i="16"/>
  <c r="O62" i="16"/>
  <c r="P62" i="16"/>
  <c r="Q62" i="16"/>
  <c r="R62" i="16"/>
  <c r="S62" i="16"/>
  <c r="T62" i="16"/>
  <c r="U62" i="16"/>
  <c r="V62" i="16"/>
  <c r="W62" i="16"/>
  <c r="X62" i="16"/>
  <c r="Y62" i="16"/>
  <c r="Z62" i="16"/>
  <c r="AA62" i="16"/>
  <c r="AB62" i="16"/>
  <c r="AC62" i="16"/>
  <c r="AD62" i="16"/>
  <c r="AE62" i="16"/>
  <c r="AF62" i="16"/>
  <c r="N63" i="16"/>
  <c r="O63" i="16"/>
  <c r="P63" i="16"/>
  <c r="Q63" i="16"/>
  <c r="R63" i="16"/>
  <c r="S63" i="16"/>
  <c r="T63" i="16"/>
  <c r="U63" i="16"/>
  <c r="V63" i="16"/>
  <c r="W63" i="16"/>
  <c r="X63" i="16"/>
  <c r="Y63" i="16"/>
  <c r="Z63" i="16"/>
  <c r="AA63" i="16"/>
  <c r="AB63" i="16"/>
  <c r="AC63" i="16"/>
  <c r="AD63" i="16"/>
  <c r="AE63" i="16"/>
  <c r="AF63" i="16"/>
  <c r="N64" i="16"/>
  <c r="O64" i="16"/>
  <c r="P64" i="16"/>
  <c r="Q64" i="16"/>
  <c r="R64" i="16"/>
  <c r="S64" i="16"/>
  <c r="T64" i="16"/>
  <c r="U64" i="16"/>
  <c r="V64" i="16"/>
  <c r="W64" i="16"/>
  <c r="X64" i="16"/>
  <c r="Y64" i="16"/>
  <c r="Z64" i="16"/>
  <c r="AA64" i="16"/>
  <c r="AB64" i="16"/>
  <c r="AC64" i="16"/>
  <c r="AD64" i="16"/>
  <c r="AE64" i="16"/>
  <c r="AF64" i="16"/>
  <c r="N65" i="16"/>
  <c r="O65" i="16"/>
  <c r="P65" i="16"/>
  <c r="Q65" i="16"/>
  <c r="R65" i="16"/>
  <c r="S65" i="16"/>
  <c r="T65" i="16"/>
  <c r="U65" i="16"/>
  <c r="V65" i="16"/>
  <c r="W65" i="16"/>
  <c r="X65" i="16"/>
  <c r="Y65" i="16"/>
  <c r="Z65" i="16"/>
  <c r="AA65" i="16"/>
  <c r="AB65" i="16"/>
  <c r="AC65" i="16"/>
  <c r="AD65" i="16"/>
  <c r="AE65" i="16"/>
  <c r="AF65" i="16"/>
  <c r="N66" i="16"/>
  <c r="O66" i="16"/>
  <c r="P66" i="16"/>
  <c r="Q66" i="16"/>
  <c r="R66" i="16"/>
  <c r="S66" i="16"/>
  <c r="T66" i="16"/>
  <c r="U66" i="16"/>
  <c r="V66" i="16"/>
  <c r="W66" i="16"/>
  <c r="X66" i="16"/>
  <c r="Y66" i="16"/>
  <c r="Z66" i="16"/>
  <c r="AA66" i="16"/>
  <c r="AB66" i="16"/>
  <c r="AC66" i="16"/>
  <c r="AD66" i="16"/>
  <c r="AE66" i="16"/>
  <c r="AF66" i="16"/>
  <c r="N67" i="16"/>
  <c r="O67" i="16"/>
  <c r="P67" i="16"/>
  <c r="Q67" i="16"/>
  <c r="R67" i="16"/>
  <c r="S67" i="16"/>
  <c r="T67" i="16"/>
  <c r="U67" i="16"/>
  <c r="V67" i="16"/>
  <c r="W67" i="16"/>
  <c r="X67" i="16"/>
  <c r="Y67" i="16"/>
  <c r="Z67" i="16"/>
  <c r="AA67" i="16"/>
  <c r="AB67" i="16"/>
  <c r="AC67" i="16"/>
  <c r="AD67" i="16"/>
  <c r="AE67" i="16"/>
  <c r="AF67" i="16"/>
  <c r="N68" i="16"/>
  <c r="O68" i="16"/>
  <c r="P68" i="16"/>
  <c r="Q68" i="16"/>
  <c r="R68" i="16"/>
  <c r="S68" i="16"/>
  <c r="T68" i="16"/>
  <c r="U68" i="16"/>
  <c r="V68" i="16"/>
  <c r="W68" i="16"/>
  <c r="X68" i="16"/>
  <c r="Y68" i="16"/>
  <c r="Z68" i="16"/>
  <c r="AA68" i="16"/>
  <c r="AB68" i="16"/>
  <c r="AC68" i="16"/>
  <c r="AD68" i="16"/>
  <c r="AE68" i="16"/>
  <c r="AF68" i="16"/>
  <c r="N69" i="16"/>
  <c r="O69" i="16"/>
  <c r="P69" i="16"/>
  <c r="Q69" i="16"/>
  <c r="R69" i="16"/>
  <c r="S69" i="16"/>
  <c r="T69" i="16"/>
  <c r="U69" i="16"/>
  <c r="V69" i="16"/>
  <c r="W69" i="16"/>
  <c r="X69" i="16"/>
  <c r="Y69" i="16"/>
  <c r="Z69" i="16"/>
  <c r="AA69" i="16"/>
  <c r="AB69" i="16"/>
  <c r="AC69" i="16"/>
  <c r="AD69" i="16"/>
  <c r="AE69" i="16"/>
  <c r="AF69" i="16"/>
  <c r="N70" i="16"/>
  <c r="O70" i="16"/>
  <c r="P70" i="16"/>
  <c r="Q70" i="16"/>
  <c r="R70" i="16"/>
  <c r="S70" i="16"/>
  <c r="T70" i="16"/>
  <c r="U70" i="16"/>
  <c r="V70" i="16"/>
  <c r="W70" i="16"/>
  <c r="X70" i="16"/>
  <c r="Y70" i="16"/>
  <c r="Z70" i="16"/>
  <c r="AA70" i="16"/>
  <c r="AB70" i="16"/>
  <c r="AC70" i="16"/>
  <c r="AD70" i="16"/>
  <c r="AE70" i="16"/>
  <c r="AF70" i="16"/>
  <c r="N71" i="16"/>
  <c r="O71" i="16"/>
  <c r="P71" i="16"/>
  <c r="Q71" i="16"/>
  <c r="R71" i="16"/>
  <c r="S71" i="16"/>
  <c r="T71" i="16"/>
  <c r="U71" i="16"/>
  <c r="V71" i="16"/>
  <c r="W71" i="16"/>
  <c r="X71" i="16"/>
  <c r="Y71" i="16"/>
  <c r="Z71" i="16"/>
  <c r="AA71" i="16"/>
  <c r="AB71" i="16"/>
  <c r="AC71" i="16"/>
  <c r="AD71" i="16"/>
  <c r="AE71" i="16"/>
  <c r="AF71" i="16"/>
  <c r="N72" i="16"/>
  <c r="O72" i="16"/>
  <c r="P72" i="16"/>
  <c r="Q72" i="16"/>
  <c r="R72" i="16"/>
  <c r="S72" i="16"/>
  <c r="T72" i="16"/>
  <c r="U72" i="16"/>
  <c r="V72" i="16"/>
  <c r="W72" i="16"/>
  <c r="X72" i="16"/>
  <c r="Y72" i="16"/>
  <c r="Z72" i="16"/>
  <c r="AA72" i="16"/>
  <c r="AB72" i="16"/>
  <c r="AC72" i="16"/>
  <c r="AD72" i="16"/>
  <c r="AE72" i="16"/>
  <c r="AF72" i="16"/>
  <c r="N73" i="16"/>
  <c r="O73" i="16"/>
  <c r="P73" i="16"/>
  <c r="Q73" i="16"/>
  <c r="R73" i="16"/>
  <c r="S73" i="16"/>
  <c r="T73" i="16"/>
  <c r="U73" i="16"/>
  <c r="V73" i="16"/>
  <c r="W73" i="16"/>
  <c r="X73" i="16"/>
  <c r="Y73" i="16"/>
  <c r="Z73" i="16"/>
  <c r="AA73" i="16"/>
  <c r="AB73" i="16"/>
  <c r="AC73" i="16"/>
  <c r="AD73" i="16"/>
  <c r="AE73" i="16"/>
  <c r="AF73" i="16"/>
  <c r="N74" i="16"/>
  <c r="O74" i="16"/>
  <c r="P74" i="16"/>
  <c r="Q74" i="16"/>
  <c r="R74" i="16"/>
  <c r="S74" i="16"/>
  <c r="T74" i="16"/>
  <c r="U74" i="16"/>
  <c r="V74" i="16"/>
  <c r="W74" i="16"/>
  <c r="X74" i="16"/>
  <c r="Y74" i="16"/>
  <c r="Z74" i="16"/>
  <c r="AA74" i="16"/>
  <c r="AB74" i="16"/>
  <c r="AC74" i="16"/>
  <c r="AD74" i="16"/>
  <c r="AE74" i="16"/>
  <c r="AF74" i="16"/>
  <c r="M74" i="16"/>
  <c r="M73" i="16"/>
  <c r="M72" i="16"/>
  <c r="M71" i="16"/>
  <c r="M70" i="16"/>
  <c r="M69" i="16"/>
  <c r="M68" i="16"/>
  <c r="M67" i="16"/>
  <c r="M66" i="16"/>
  <c r="M65" i="16"/>
  <c r="M64" i="16"/>
  <c r="M63" i="16"/>
  <c r="M62" i="16"/>
  <c r="M61" i="16"/>
  <c r="M60" i="16"/>
  <c r="M59" i="16"/>
  <c r="M58" i="16"/>
  <c r="M57" i="16"/>
  <c r="M56" i="16"/>
  <c r="M55" i="16"/>
  <c r="M54" i="16"/>
  <c r="K54" i="16"/>
  <c r="K55" i="16"/>
  <c r="K56" i="16"/>
  <c r="K57" i="16"/>
  <c r="K58" i="16"/>
  <c r="K59" i="16"/>
  <c r="K60" i="16"/>
  <c r="K61" i="16"/>
  <c r="K62" i="16"/>
  <c r="K63" i="16"/>
  <c r="K64" i="16"/>
  <c r="K65" i="16"/>
  <c r="K66" i="16"/>
  <c r="K67" i="16"/>
  <c r="K68" i="16"/>
  <c r="K69" i="16"/>
  <c r="K70" i="16"/>
  <c r="K71" i="16"/>
  <c r="K72" i="16"/>
  <c r="K73" i="16"/>
  <c r="K74" i="16"/>
  <c r="C54" i="16"/>
  <c r="D54" i="16"/>
  <c r="E54" i="16"/>
  <c r="F54" i="16"/>
  <c r="G54" i="16"/>
  <c r="H54" i="16"/>
  <c r="I54" i="16"/>
  <c r="J54" i="16"/>
  <c r="C55" i="16"/>
  <c r="D55" i="16"/>
  <c r="E55" i="16"/>
  <c r="F55" i="16"/>
  <c r="G55" i="16"/>
  <c r="H55" i="16"/>
  <c r="I55" i="16"/>
  <c r="J55" i="16"/>
  <c r="C56" i="16"/>
  <c r="D56" i="16"/>
  <c r="E56" i="16"/>
  <c r="F56" i="16"/>
  <c r="G56" i="16"/>
  <c r="H56" i="16"/>
  <c r="I56" i="16"/>
  <c r="J56" i="16"/>
  <c r="C57" i="16"/>
  <c r="D57" i="16"/>
  <c r="E57" i="16"/>
  <c r="F57" i="16"/>
  <c r="G57" i="16"/>
  <c r="H57" i="16"/>
  <c r="I57" i="16"/>
  <c r="J57" i="16"/>
  <c r="C58" i="16"/>
  <c r="D58" i="16"/>
  <c r="E58" i="16"/>
  <c r="F58" i="16"/>
  <c r="G58" i="16"/>
  <c r="H58" i="16"/>
  <c r="I58" i="16"/>
  <c r="J58" i="16"/>
  <c r="C59" i="16"/>
  <c r="D59" i="16"/>
  <c r="E59" i="16"/>
  <c r="F59" i="16"/>
  <c r="G59" i="16"/>
  <c r="H59" i="16"/>
  <c r="I59" i="16"/>
  <c r="J59" i="16"/>
  <c r="C60" i="16"/>
  <c r="D60" i="16"/>
  <c r="E60" i="16"/>
  <c r="F60" i="16"/>
  <c r="G60" i="16"/>
  <c r="H60" i="16"/>
  <c r="I60" i="16"/>
  <c r="J60" i="16"/>
  <c r="C61" i="16"/>
  <c r="D61" i="16"/>
  <c r="E61" i="16"/>
  <c r="F61" i="16"/>
  <c r="G61" i="16"/>
  <c r="H61" i="16"/>
  <c r="I61" i="16"/>
  <c r="J61" i="16"/>
  <c r="C62" i="16"/>
  <c r="D62" i="16"/>
  <c r="E62" i="16"/>
  <c r="F62" i="16"/>
  <c r="G62" i="16"/>
  <c r="H62" i="16"/>
  <c r="I62" i="16"/>
  <c r="J62" i="16"/>
  <c r="C63" i="16"/>
  <c r="D63" i="16"/>
  <c r="E63" i="16"/>
  <c r="F63" i="16"/>
  <c r="G63" i="16"/>
  <c r="H63" i="16"/>
  <c r="I63" i="16"/>
  <c r="J63" i="16"/>
  <c r="C64" i="16"/>
  <c r="D64" i="16"/>
  <c r="E64" i="16"/>
  <c r="F64" i="16"/>
  <c r="G64" i="16"/>
  <c r="H64" i="16"/>
  <c r="I64" i="16"/>
  <c r="J64" i="16"/>
  <c r="C65" i="16"/>
  <c r="D65" i="16"/>
  <c r="E65" i="16"/>
  <c r="F65" i="16"/>
  <c r="G65" i="16"/>
  <c r="H65" i="16"/>
  <c r="I65" i="16"/>
  <c r="J65" i="16"/>
  <c r="C66" i="16"/>
  <c r="D66" i="16"/>
  <c r="E66" i="16"/>
  <c r="F66" i="16"/>
  <c r="G66" i="16"/>
  <c r="H66" i="16"/>
  <c r="I66" i="16"/>
  <c r="J66" i="16"/>
  <c r="C67" i="16"/>
  <c r="D67" i="16"/>
  <c r="E67" i="16"/>
  <c r="F67" i="16"/>
  <c r="G67" i="16"/>
  <c r="H67" i="16"/>
  <c r="I67" i="16"/>
  <c r="J67" i="16"/>
  <c r="C68" i="16"/>
  <c r="D68" i="16"/>
  <c r="E68" i="16"/>
  <c r="F68" i="16"/>
  <c r="G68" i="16"/>
  <c r="H68" i="16"/>
  <c r="I68" i="16"/>
  <c r="J68" i="16"/>
  <c r="C69" i="16"/>
  <c r="D69" i="16"/>
  <c r="E69" i="16"/>
  <c r="F69" i="16"/>
  <c r="G69" i="16"/>
  <c r="H69" i="16"/>
  <c r="I69" i="16"/>
  <c r="J69" i="16"/>
  <c r="C70" i="16"/>
  <c r="D70" i="16"/>
  <c r="E70" i="16"/>
  <c r="F70" i="16"/>
  <c r="G70" i="16"/>
  <c r="H70" i="16"/>
  <c r="I70" i="16"/>
  <c r="J70" i="16"/>
  <c r="C71" i="16"/>
  <c r="D71" i="16"/>
  <c r="E71" i="16"/>
  <c r="F71" i="16"/>
  <c r="G71" i="16"/>
  <c r="H71" i="16"/>
  <c r="I71" i="16"/>
  <c r="J71" i="16"/>
  <c r="C72" i="16"/>
  <c r="D72" i="16"/>
  <c r="E72" i="16"/>
  <c r="F72" i="16"/>
  <c r="G72" i="16"/>
  <c r="H72" i="16"/>
  <c r="I72" i="16"/>
  <c r="J72" i="16"/>
  <c r="C73" i="16"/>
  <c r="D73" i="16"/>
  <c r="E73" i="16"/>
  <c r="F73" i="16"/>
  <c r="G73" i="16"/>
  <c r="H73" i="16"/>
  <c r="I73" i="16"/>
  <c r="J73" i="16"/>
  <c r="C74" i="16"/>
  <c r="D74" i="16"/>
  <c r="E74" i="16"/>
  <c r="F74" i="16"/>
  <c r="G74" i="16"/>
  <c r="H74" i="16"/>
  <c r="I74" i="16"/>
  <c r="J74" i="16"/>
  <c r="B74" i="16"/>
  <c r="B73" i="16"/>
  <c r="B72" i="16"/>
  <c r="B71" i="16"/>
  <c r="B70" i="16"/>
  <c r="B69" i="16"/>
  <c r="B68" i="16"/>
  <c r="B67" i="16"/>
  <c r="B66" i="16"/>
  <c r="B65" i="16"/>
  <c r="B64" i="16"/>
  <c r="B63" i="16"/>
  <c r="B62" i="16"/>
  <c r="B61" i="16"/>
  <c r="B60" i="16"/>
  <c r="B59" i="16"/>
  <c r="B58" i="16"/>
  <c r="B57" i="16"/>
  <c r="B56" i="16"/>
  <c r="B55" i="16"/>
  <c r="B54" i="16"/>
  <c r="N36" i="16"/>
  <c r="O36" i="16"/>
  <c r="P36" i="16"/>
  <c r="Q36" i="16"/>
  <c r="R36" i="16"/>
  <c r="S36" i="16"/>
  <c r="T36" i="16"/>
  <c r="U36" i="16"/>
  <c r="V36" i="16"/>
  <c r="W36" i="16"/>
  <c r="X36" i="16"/>
  <c r="Y36" i="16"/>
  <c r="Z36" i="16"/>
  <c r="AA36" i="16"/>
  <c r="AB36" i="16"/>
  <c r="AC36" i="16"/>
  <c r="AD36" i="16"/>
  <c r="AE36" i="16"/>
  <c r="AF36" i="16"/>
  <c r="N37" i="16"/>
  <c r="O37" i="16"/>
  <c r="P37" i="16"/>
  <c r="Q37" i="16"/>
  <c r="R37" i="16"/>
  <c r="S37" i="16"/>
  <c r="T37" i="16"/>
  <c r="U37" i="16"/>
  <c r="V37" i="16"/>
  <c r="W37" i="16"/>
  <c r="X37" i="16"/>
  <c r="Y37" i="16"/>
  <c r="Z37" i="16"/>
  <c r="AA37" i="16"/>
  <c r="AB37" i="16"/>
  <c r="AC37" i="16"/>
  <c r="AD37" i="16"/>
  <c r="AE37" i="16"/>
  <c r="AF37" i="16"/>
  <c r="N38" i="16"/>
  <c r="O38" i="16"/>
  <c r="P38" i="16"/>
  <c r="Q38" i="16"/>
  <c r="R38" i="16"/>
  <c r="S38" i="16"/>
  <c r="T38" i="16"/>
  <c r="U38" i="16"/>
  <c r="V38" i="16"/>
  <c r="W38" i="16"/>
  <c r="X38" i="16"/>
  <c r="Y38" i="16"/>
  <c r="Z38" i="16"/>
  <c r="AA38" i="16"/>
  <c r="AB38" i="16"/>
  <c r="AC38" i="16"/>
  <c r="AD38" i="16"/>
  <c r="AE38" i="16"/>
  <c r="AF38" i="16"/>
  <c r="N39" i="16"/>
  <c r="O39" i="16"/>
  <c r="P39" i="16"/>
  <c r="Q39" i="16"/>
  <c r="R39" i="16"/>
  <c r="S39" i="16"/>
  <c r="T39" i="16"/>
  <c r="U39" i="16"/>
  <c r="V39" i="16"/>
  <c r="W39" i="16"/>
  <c r="X39" i="16"/>
  <c r="Y39" i="16"/>
  <c r="Z39" i="16"/>
  <c r="AA39" i="16"/>
  <c r="AB39" i="16"/>
  <c r="AC39" i="16"/>
  <c r="AD39" i="16"/>
  <c r="AE39" i="16"/>
  <c r="AF39" i="16"/>
  <c r="N40" i="16"/>
  <c r="O40" i="16"/>
  <c r="P40" i="16"/>
  <c r="Q40" i="16"/>
  <c r="R40" i="16"/>
  <c r="S40" i="16"/>
  <c r="T40" i="16"/>
  <c r="U40" i="16"/>
  <c r="V40" i="16"/>
  <c r="W40" i="16"/>
  <c r="X40" i="16"/>
  <c r="Y40" i="16"/>
  <c r="Z40" i="16"/>
  <c r="AA40" i="16"/>
  <c r="AB40" i="16"/>
  <c r="AC40" i="16"/>
  <c r="AD40" i="16"/>
  <c r="AE40" i="16"/>
  <c r="AF40" i="16"/>
  <c r="N41" i="16"/>
  <c r="O41" i="16"/>
  <c r="P41" i="16"/>
  <c r="Q41" i="16"/>
  <c r="R41" i="16"/>
  <c r="S41" i="16"/>
  <c r="T41" i="16"/>
  <c r="U41" i="16"/>
  <c r="V41" i="16"/>
  <c r="W41" i="16"/>
  <c r="X41" i="16"/>
  <c r="Y41" i="16"/>
  <c r="Z41" i="16"/>
  <c r="AA41" i="16"/>
  <c r="AB41" i="16"/>
  <c r="AC41" i="16"/>
  <c r="AD41" i="16"/>
  <c r="AE41" i="16"/>
  <c r="AF41" i="16"/>
  <c r="N42" i="16"/>
  <c r="O42" i="16"/>
  <c r="P42" i="16"/>
  <c r="Q42" i="16"/>
  <c r="R42" i="16"/>
  <c r="S42" i="16"/>
  <c r="T42" i="16"/>
  <c r="U42" i="16"/>
  <c r="V42" i="16"/>
  <c r="W42" i="16"/>
  <c r="X42" i="16"/>
  <c r="Y42" i="16"/>
  <c r="Z42" i="16"/>
  <c r="AA42" i="16"/>
  <c r="AB42" i="16"/>
  <c r="AC42" i="16"/>
  <c r="AD42" i="16"/>
  <c r="AE42" i="16"/>
  <c r="AF42" i="16"/>
  <c r="N43" i="16"/>
  <c r="O43" i="16"/>
  <c r="P43" i="16"/>
  <c r="Q43" i="16"/>
  <c r="R43" i="16"/>
  <c r="S43" i="16"/>
  <c r="T43" i="16"/>
  <c r="U43" i="16"/>
  <c r="V43" i="16"/>
  <c r="W43" i="16"/>
  <c r="X43" i="16"/>
  <c r="Y43" i="16"/>
  <c r="Z43" i="16"/>
  <c r="AA43" i="16"/>
  <c r="AB43" i="16"/>
  <c r="AC43" i="16"/>
  <c r="AD43" i="16"/>
  <c r="AE43" i="16"/>
  <c r="AF43" i="16"/>
  <c r="N44" i="16"/>
  <c r="O44" i="16"/>
  <c r="P44" i="16"/>
  <c r="Q44" i="16"/>
  <c r="R44" i="16"/>
  <c r="S44" i="16"/>
  <c r="T44" i="16"/>
  <c r="U44" i="16"/>
  <c r="V44" i="16"/>
  <c r="W44" i="16"/>
  <c r="X44" i="16"/>
  <c r="Y44" i="16"/>
  <c r="Z44" i="16"/>
  <c r="AA44" i="16"/>
  <c r="AB44" i="16"/>
  <c r="AC44" i="16"/>
  <c r="AD44" i="16"/>
  <c r="AE44" i="16"/>
  <c r="AF44" i="16"/>
  <c r="N45" i="16"/>
  <c r="O45" i="16"/>
  <c r="P45" i="16"/>
  <c r="Q45" i="16"/>
  <c r="R45" i="16"/>
  <c r="S45" i="16"/>
  <c r="T45" i="16"/>
  <c r="U45" i="16"/>
  <c r="V45" i="16"/>
  <c r="W45" i="16"/>
  <c r="X45" i="16"/>
  <c r="Y45" i="16"/>
  <c r="Z45" i="16"/>
  <c r="AA45" i="16"/>
  <c r="AB45" i="16"/>
  <c r="AC45" i="16"/>
  <c r="AD45" i="16"/>
  <c r="AE45" i="16"/>
  <c r="AF45" i="16"/>
  <c r="N46" i="16"/>
  <c r="O46" i="16"/>
  <c r="P46" i="16"/>
  <c r="Q46" i="16"/>
  <c r="R46" i="16"/>
  <c r="S46" i="16"/>
  <c r="T46" i="16"/>
  <c r="U46" i="16"/>
  <c r="V46" i="16"/>
  <c r="W46" i="16"/>
  <c r="X46" i="16"/>
  <c r="Y46" i="16"/>
  <c r="Z46" i="16"/>
  <c r="AA46" i="16"/>
  <c r="AB46" i="16"/>
  <c r="AC46" i="16"/>
  <c r="AD46" i="16"/>
  <c r="AE46" i="16"/>
  <c r="AF46" i="16"/>
  <c r="N47" i="16"/>
  <c r="O47" i="16"/>
  <c r="P47" i="16"/>
  <c r="Q47" i="16"/>
  <c r="R47" i="16"/>
  <c r="S47" i="16"/>
  <c r="T47" i="16"/>
  <c r="U47" i="16"/>
  <c r="V47" i="16"/>
  <c r="W47" i="16"/>
  <c r="X47" i="16"/>
  <c r="Y47" i="16"/>
  <c r="Z47" i="16"/>
  <c r="AA47" i="16"/>
  <c r="AB47" i="16"/>
  <c r="AC47" i="16"/>
  <c r="AD47" i="16"/>
  <c r="AE47" i="16"/>
  <c r="AF47" i="16"/>
  <c r="N48" i="16"/>
  <c r="O48" i="16"/>
  <c r="P48" i="16"/>
  <c r="Q48" i="16"/>
  <c r="R48" i="16"/>
  <c r="S48" i="16"/>
  <c r="T48" i="16"/>
  <c r="U48" i="16"/>
  <c r="V48" i="16"/>
  <c r="W48" i="16"/>
  <c r="X48" i="16"/>
  <c r="Y48" i="16"/>
  <c r="Z48" i="16"/>
  <c r="AA48" i="16"/>
  <c r="AB48" i="16"/>
  <c r="AC48" i="16"/>
  <c r="AD48" i="16"/>
  <c r="AE48" i="16"/>
  <c r="AF48" i="16"/>
  <c r="N49" i="16"/>
  <c r="O49" i="16"/>
  <c r="P49" i="16"/>
  <c r="Q49" i="16"/>
  <c r="R49" i="16"/>
  <c r="S49" i="16"/>
  <c r="T49" i="16"/>
  <c r="U49" i="16"/>
  <c r="V49" i="16"/>
  <c r="W49" i="16"/>
  <c r="X49" i="16"/>
  <c r="Y49" i="16"/>
  <c r="Z49" i="16"/>
  <c r="AA49" i="16"/>
  <c r="AB49" i="16"/>
  <c r="AC49" i="16"/>
  <c r="AD49" i="16"/>
  <c r="AE49" i="16"/>
  <c r="AF49" i="16"/>
  <c r="M49" i="16"/>
  <c r="M48" i="16"/>
  <c r="M47" i="16"/>
  <c r="M46" i="16"/>
  <c r="M45" i="16"/>
  <c r="M44" i="16"/>
  <c r="M43" i="16"/>
  <c r="M42" i="16"/>
  <c r="M41" i="16"/>
  <c r="M40" i="16"/>
  <c r="M39" i="16"/>
  <c r="M38" i="16"/>
  <c r="M37" i="16"/>
  <c r="M36" i="16"/>
  <c r="C36" i="16"/>
  <c r="D36" i="16"/>
  <c r="E36" i="16"/>
  <c r="F36" i="16"/>
  <c r="G36" i="16"/>
  <c r="H36" i="16"/>
  <c r="I36" i="16"/>
  <c r="J36" i="16"/>
  <c r="K36" i="16"/>
  <c r="C37" i="16"/>
  <c r="D37" i="16"/>
  <c r="E37" i="16"/>
  <c r="F37" i="16"/>
  <c r="G37" i="16"/>
  <c r="H37" i="16"/>
  <c r="I37" i="16"/>
  <c r="J37" i="16"/>
  <c r="K37" i="16"/>
  <c r="C38" i="16"/>
  <c r="D38" i="16"/>
  <c r="E38" i="16"/>
  <c r="F38" i="16"/>
  <c r="G38" i="16"/>
  <c r="H38" i="16"/>
  <c r="I38" i="16"/>
  <c r="J38" i="16"/>
  <c r="K38" i="16"/>
  <c r="C39" i="16"/>
  <c r="D39" i="16"/>
  <c r="E39" i="16"/>
  <c r="F39" i="16"/>
  <c r="G39" i="16"/>
  <c r="H39" i="16"/>
  <c r="I39" i="16"/>
  <c r="J39" i="16"/>
  <c r="K39" i="16"/>
  <c r="C40" i="16"/>
  <c r="D40" i="16"/>
  <c r="E40" i="16"/>
  <c r="F40" i="16"/>
  <c r="G40" i="16"/>
  <c r="H40" i="16"/>
  <c r="I40" i="16"/>
  <c r="J40" i="16"/>
  <c r="K40" i="16"/>
  <c r="C41" i="16"/>
  <c r="D41" i="16"/>
  <c r="E41" i="16"/>
  <c r="F41" i="16"/>
  <c r="G41" i="16"/>
  <c r="H41" i="16"/>
  <c r="I41" i="16"/>
  <c r="J41" i="16"/>
  <c r="K41" i="16"/>
  <c r="C42" i="16"/>
  <c r="D42" i="16"/>
  <c r="E42" i="16"/>
  <c r="F42" i="16"/>
  <c r="G42" i="16"/>
  <c r="H42" i="16"/>
  <c r="I42" i="16"/>
  <c r="J42" i="16"/>
  <c r="K42" i="16"/>
  <c r="C43" i="16"/>
  <c r="D43" i="16"/>
  <c r="E43" i="16"/>
  <c r="F43" i="16"/>
  <c r="G43" i="16"/>
  <c r="H43" i="16"/>
  <c r="I43" i="16"/>
  <c r="J43" i="16"/>
  <c r="K43" i="16"/>
  <c r="C44" i="16"/>
  <c r="D44" i="16"/>
  <c r="E44" i="16"/>
  <c r="F44" i="16"/>
  <c r="G44" i="16"/>
  <c r="H44" i="16"/>
  <c r="I44" i="16"/>
  <c r="J44" i="16"/>
  <c r="K44" i="16"/>
  <c r="C45" i="16"/>
  <c r="D45" i="16"/>
  <c r="E45" i="16"/>
  <c r="F45" i="16"/>
  <c r="G45" i="16"/>
  <c r="H45" i="16"/>
  <c r="I45" i="16"/>
  <c r="J45" i="16"/>
  <c r="K45" i="16"/>
  <c r="C46" i="16"/>
  <c r="D46" i="16"/>
  <c r="E46" i="16"/>
  <c r="F46" i="16"/>
  <c r="G46" i="16"/>
  <c r="H46" i="16"/>
  <c r="I46" i="16"/>
  <c r="J46" i="16"/>
  <c r="K46" i="16"/>
  <c r="C47" i="16"/>
  <c r="D47" i="16"/>
  <c r="E47" i="16"/>
  <c r="F47" i="16"/>
  <c r="G47" i="16"/>
  <c r="H47" i="16"/>
  <c r="I47" i="16"/>
  <c r="J47" i="16"/>
  <c r="K47" i="16"/>
  <c r="C48" i="16"/>
  <c r="D48" i="16"/>
  <c r="E48" i="16"/>
  <c r="F48" i="16"/>
  <c r="G48" i="16"/>
  <c r="H48" i="16"/>
  <c r="I48" i="16"/>
  <c r="J48" i="16"/>
  <c r="K48" i="16"/>
  <c r="C49" i="16"/>
  <c r="D49" i="16"/>
  <c r="E49" i="16"/>
  <c r="F49" i="16"/>
  <c r="G49" i="16"/>
  <c r="H49" i="16"/>
  <c r="I49" i="16"/>
  <c r="J49" i="16"/>
  <c r="K49" i="16"/>
  <c r="B49" i="16"/>
  <c r="B48" i="16"/>
  <c r="B47" i="16"/>
  <c r="B46" i="16"/>
  <c r="B45" i="16"/>
  <c r="B44" i="16"/>
  <c r="B43" i="16"/>
  <c r="B42" i="16"/>
  <c r="B41" i="16"/>
  <c r="B40" i="16"/>
  <c r="B39" i="16"/>
  <c r="B38" i="16"/>
  <c r="B37" i="16"/>
  <c r="B36" i="16"/>
  <c r="N35" i="16"/>
  <c r="O35" i="16"/>
  <c r="P35" i="16"/>
  <c r="Q35" i="16"/>
  <c r="R35" i="16"/>
  <c r="S35" i="16"/>
  <c r="T35" i="16"/>
  <c r="U35" i="16"/>
  <c r="V35" i="16"/>
  <c r="W35" i="16"/>
  <c r="X35" i="16"/>
  <c r="Y35" i="16"/>
  <c r="Z35" i="16"/>
  <c r="AA35" i="16"/>
  <c r="AB35" i="16"/>
  <c r="AC35" i="16"/>
  <c r="AD35" i="16"/>
  <c r="AE35" i="16"/>
  <c r="AF35" i="16"/>
  <c r="M35" i="16"/>
  <c r="K35" i="16"/>
  <c r="C35" i="16"/>
  <c r="D35" i="16"/>
  <c r="E35" i="16"/>
  <c r="F35" i="16"/>
  <c r="G35" i="16"/>
  <c r="H35" i="16"/>
  <c r="I35" i="16"/>
  <c r="J35" i="16"/>
  <c r="B35" i="16"/>
  <c r="AF34" i="16"/>
  <c r="AE34" i="16"/>
  <c r="AD34" i="16"/>
  <c r="AC34" i="16"/>
  <c r="AB34" i="16"/>
  <c r="AA34" i="16"/>
  <c r="Z34" i="16"/>
  <c r="Y34" i="16"/>
  <c r="X34" i="16"/>
  <c r="W34" i="16"/>
  <c r="V34" i="16"/>
  <c r="U34" i="16"/>
  <c r="T34" i="16"/>
  <c r="S34" i="16"/>
  <c r="R34" i="16"/>
  <c r="Q34" i="16"/>
  <c r="P34" i="16"/>
  <c r="O34" i="16"/>
  <c r="N34" i="16"/>
  <c r="M34" i="16"/>
  <c r="C34" i="16"/>
  <c r="D34" i="16"/>
  <c r="E34" i="16"/>
  <c r="F34" i="16"/>
  <c r="G34" i="16"/>
  <c r="H34" i="16"/>
  <c r="I34" i="16"/>
  <c r="J34" i="16"/>
  <c r="K34" i="16"/>
  <c r="B34" i="16"/>
  <c r="N33" i="16"/>
  <c r="O33" i="16"/>
  <c r="P33" i="16"/>
  <c r="Q33" i="16"/>
  <c r="R33" i="16"/>
  <c r="S33" i="16"/>
  <c r="T33" i="16"/>
  <c r="U33" i="16"/>
  <c r="V33" i="16"/>
  <c r="W33" i="16"/>
  <c r="X33" i="16"/>
  <c r="Y33" i="16"/>
  <c r="Z33" i="16"/>
  <c r="AA33" i="16"/>
  <c r="AB33" i="16"/>
  <c r="AC33" i="16"/>
  <c r="AD33" i="16"/>
  <c r="AE33" i="16"/>
  <c r="AF33" i="16"/>
  <c r="M33" i="16"/>
  <c r="C33" i="16"/>
  <c r="D33" i="16"/>
  <c r="E33" i="16"/>
  <c r="F33" i="16"/>
  <c r="G33" i="16"/>
  <c r="H33" i="16"/>
  <c r="I33" i="16"/>
  <c r="J33" i="16"/>
  <c r="K33" i="16"/>
  <c r="B33" i="16"/>
  <c r="AF32" i="16"/>
  <c r="AE32" i="16"/>
  <c r="AD32" i="16"/>
  <c r="AC32" i="16"/>
  <c r="AB32" i="16"/>
  <c r="AA32" i="16"/>
  <c r="Z32" i="16"/>
  <c r="Y32" i="16"/>
  <c r="X32" i="16"/>
  <c r="W32" i="16"/>
  <c r="V32" i="16"/>
  <c r="U32" i="16"/>
  <c r="T32" i="16"/>
  <c r="S32" i="16"/>
  <c r="R32" i="16"/>
  <c r="Q32" i="16"/>
  <c r="P32" i="16"/>
  <c r="O32" i="16"/>
  <c r="N32" i="16"/>
  <c r="M32" i="16"/>
  <c r="C32" i="16"/>
  <c r="D32" i="16"/>
  <c r="E32" i="16"/>
  <c r="F32" i="16"/>
  <c r="G32" i="16"/>
  <c r="H32" i="16"/>
  <c r="I32" i="16"/>
  <c r="J32" i="16"/>
  <c r="K32" i="16"/>
  <c r="B32" i="16"/>
  <c r="N31" i="16"/>
  <c r="O31" i="16"/>
  <c r="P31" i="16"/>
  <c r="Q31" i="16"/>
  <c r="R31" i="16"/>
  <c r="S31" i="16"/>
  <c r="T31" i="16"/>
  <c r="U31" i="16"/>
  <c r="V31" i="16"/>
  <c r="W31" i="16"/>
  <c r="X31" i="16"/>
  <c r="Y31" i="16"/>
  <c r="Z31" i="16"/>
  <c r="AA31" i="16"/>
  <c r="AB31" i="16"/>
  <c r="AC31" i="16"/>
  <c r="AD31" i="16"/>
  <c r="AE31" i="16"/>
  <c r="AF31" i="16"/>
  <c r="M31" i="16"/>
  <c r="C31" i="16"/>
  <c r="D31" i="16"/>
  <c r="E31" i="16"/>
  <c r="F31" i="16"/>
  <c r="G31" i="16"/>
  <c r="H31" i="16"/>
  <c r="I31" i="16"/>
  <c r="J31" i="16"/>
  <c r="K31" i="16"/>
  <c r="B31" i="16"/>
  <c r="N30" i="16"/>
  <c r="O30" i="16"/>
  <c r="P30" i="16"/>
  <c r="Q30" i="16"/>
  <c r="R30" i="16"/>
  <c r="S30" i="16"/>
  <c r="T30" i="16"/>
  <c r="U30" i="16"/>
  <c r="V30" i="16"/>
  <c r="W30" i="16"/>
  <c r="X30" i="16"/>
  <c r="Y30" i="16"/>
  <c r="Z30" i="16"/>
  <c r="AA30" i="16"/>
  <c r="AB30" i="16"/>
  <c r="AC30" i="16"/>
  <c r="AD30" i="16"/>
  <c r="AE30" i="16"/>
  <c r="AF30" i="16"/>
  <c r="M30" i="16"/>
  <c r="C30" i="16"/>
  <c r="D30" i="16"/>
  <c r="E30" i="16"/>
  <c r="F30" i="16"/>
  <c r="G30" i="16"/>
  <c r="H30" i="16"/>
  <c r="I30" i="16"/>
  <c r="J30" i="16"/>
  <c r="K30" i="16"/>
  <c r="B30" i="16"/>
  <c r="N29" i="16"/>
  <c r="O29" i="16"/>
  <c r="P29" i="16"/>
  <c r="Q29" i="16"/>
  <c r="R29" i="16"/>
  <c r="S29" i="16"/>
  <c r="T29" i="16"/>
  <c r="U29" i="16"/>
  <c r="V29" i="16"/>
  <c r="W29" i="16"/>
  <c r="X29" i="16"/>
  <c r="Y29" i="16"/>
  <c r="Z29" i="16"/>
  <c r="AA29" i="16"/>
  <c r="AB29" i="16"/>
  <c r="AC29" i="16"/>
  <c r="AD29" i="16"/>
  <c r="AE29" i="16"/>
  <c r="AF29" i="16"/>
  <c r="M29" i="16"/>
  <c r="C29" i="16"/>
  <c r="D29" i="16"/>
  <c r="E29" i="16"/>
  <c r="F29" i="16"/>
  <c r="G29" i="16"/>
  <c r="H29" i="16"/>
  <c r="I29" i="16"/>
  <c r="J29" i="16"/>
  <c r="K29" i="16"/>
  <c r="B29" i="16"/>
  <c r="AF7" i="16"/>
  <c r="AE7" i="16"/>
  <c r="AD7" i="16"/>
  <c r="AC7" i="16"/>
  <c r="AB7" i="16"/>
  <c r="AA7" i="16"/>
  <c r="Z7" i="16"/>
  <c r="Y7" i="16"/>
  <c r="X7" i="16"/>
  <c r="W7" i="16"/>
  <c r="V7" i="16"/>
  <c r="U7" i="16"/>
  <c r="T7" i="16"/>
  <c r="S7" i="16"/>
  <c r="R7" i="16"/>
  <c r="Q7" i="16"/>
  <c r="P7" i="16"/>
  <c r="O7" i="16"/>
  <c r="N7" i="16"/>
  <c r="M7" i="16"/>
  <c r="C7" i="16"/>
  <c r="D7" i="16"/>
  <c r="E7" i="16"/>
  <c r="F7" i="16"/>
  <c r="G7" i="16"/>
  <c r="H7" i="16"/>
  <c r="I7" i="16"/>
  <c r="J7" i="16"/>
  <c r="K7" i="16"/>
  <c r="B7" i="16"/>
  <c r="N6" i="16"/>
  <c r="O6" i="16"/>
  <c r="P6" i="16"/>
  <c r="Q6" i="16"/>
  <c r="R6" i="16"/>
  <c r="S6" i="16"/>
  <c r="T6" i="16"/>
  <c r="U6" i="16"/>
  <c r="V6" i="16"/>
  <c r="W6" i="16"/>
  <c r="X6" i="16"/>
  <c r="Y6" i="16"/>
  <c r="Z6" i="16"/>
  <c r="AA6" i="16"/>
  <c r="AB6" i="16"/>
  <c r="AC6" i="16"/>
  <c r="AD6" i="16"/>
  <c r="AE6" i="16"/>
  <c r="AF6" i="16"/>
  <c r="N8" i="16"/>
  <c r="O8" i="16"/>
  <c r="P8" i="16"/>
  <c r="Q8" i="16"/>
  <c r="R8" i="16"/>
  <c r="S8" i="16"/>
  <c r="T8" i="16"/>
  <c r="U8" i="16"/>
  <c r="V8" i="16"/>
  <c r="W8" i="16"/>
  <c r="X8" i="16"/>
  <c r="Y8" i="16"/>
  <c r="Z8" i="16"/>
  <c r="AA8" i="16"/>
  <c r="AB8" i="16"/>
  <c r="AC8" i="16"/>
  <c r="AD8" i="16"/>
  <c r="AE8" i="16"/>
  <c r="AF8" i="16"/>
  <c r="N9" i="16"/>
  <c r="O9" i="16"/>
  <c r="P9" i="16"/>
  <c r="Q9" i="16"/>
  <c r="R9" i="16"/>
  <c r="S9" i="16"/>
  <c r="T9" i="16"/>
  <c r="U9" i="16"/>
  <c r="V9" i="16"/>
  <c r="W9" i="16"/>
  <c r="X9" i="16"/>
  <c r="Y9" i="16"/>
  <c r="Z9" i="16"/>
  <c r="AA9" i="16"/>
  <c r="AB9" i="16"/>
  <c r="AC9" i="16"/>
  <c r="AD9" i="16"/>
  <c r="AE9" i="16"/>
  <c r="AF9" i="16"/>
  <c r="N10" i="16"/>
  <c r="O10" i="16"/>
  <c r="P10" i="16"/>
  <c r="Q10" i="16"/>
  <c r="R10" i="16"/>
  <c r="S10" i="16"/>
  <c r="T10" i="16"/>
  <c r="U10" i="16"/>
  <c r="V10" i="16"/>
  <c r="W10" i="16"/>
  <c r="X10" i="16"/>
  <c r="Y10" i="16"/>
  <c r="Z10" i="16"/>
  <c r="AA10" i="16"/>
  <c r="AB10" i="16"/>
  <c r="AC10" i="16"/>
  <c r="AD10" i="16"/>
  <c r="AE10" i="16"/>
  <c r="AF10" i="16"/>
  <c r="N11" i="16"/>
  <c r="O11" i="16"/>
  <c r="P11" i="16"/>
  <c r="Q11" i="16"/>
  <c r="R11" i="16"/>
  <c r="S11" i="16"/>
  <c r="T11" i="16"/>
  <c r="U11" i="16"/>
  <c r="V11" i="16"/>
  <c r="W11" i="16"/>
  <c r="X11" i="16"/>
  <c r="Y11" i="16"/>
  <c r="Z11" i="16"/>
  <c r="AA11" i="16"/>
  <c r="AB11" i="16"/>
  <c r="AC11" i="16"/>
  <c r="AD11" i="16"/>
  <c r="AE11" i="16"/>
  <c r="AF11" i="16"/>
  <c r="N12" i="16"/>
  <c r="O12" i="16"/>
  <c r="P12" i="16"/>
  <c r="Q12" i="16"/>
  <c r="R12" i="16"/>
  <c r="S12" i="16"/>
  <c r="T12" i="16"/>
  <c r="U12" i="16"/>
  <c r="V12" i="16"/>
  <c r="W12" i="16"/>
  <c r="X12" i="16"/>
  <c r="Y12" i="16"/>
  <c r="Z12" i="16"/>
  <c r="AA12" i="16"/>
  <c r="AB12" i="16"/>
  <c r="AC12" i="16"/>
  <c r="AD12" i="16"/>
  <c r="AE12" i="16"/>
  <c r="AF12" i="16"/>
  <c r="N13" i="16"/>
  <c r="O13" i="16"/>
  <c r="P13" i="16"/>
  <c r="Q13" i="16"/>
  <c r="R13" i="16"/>
  <c r="S13" i="16"/>
  <c r="T13" i="16"/>
  <c r="U13" i="16"/>
  <c r="V13" i="16"/>
  <c r="W13" i="16"/>
  <c r="X13" i="16"/>
  <c r="Y13" i="16"/>
  <c r="Z13" i="16"/>
  <c r="AA13" i="16"/>
  <c r="AB13" i="16"/>
  <c r="AC13" i="16"/>
  <c r="AD13" i="16"/>
  <c r="AE13" i="16"/>
  <c r="AF13" i="16"/>
  <c r="N14" i="16"/>
  <c r="O14" i="16"/>
  <c r="P14" i="16"/>
  <c r="Q14" i="16"/>
  <c r="R14" i="16"/>
  <c r="S14" i="16"/>
  <c r="T14" i="16"/>
  <c r="U14" i="16"/>
  <c r="W14" i="16"/>
  <c r="X14" i="16"/>
  <c r="Y14" i="16"/>
  <c r="Z14" i="16"/>
  <c r="AA14" i="16"/>
  <c r="AB14" i="16"/>
  <c r="AC14" i="16"/>
  <c r="AD14" i="16"/>
  <c r="AE14" i="16"/>
  <c r="AF14" i="16"/>
  <c r="N15" i="16"/>
  <c r="O15" i="16"/>
  <c r="P15" i="16"/>
  <c r="Q15" i="16"/>
  <c r="R15" i="16"/>
  <c r="S15" i="16"/>
  <c r="T15" i="16"/>
  <c r="U15" i="16"/>
  <c r="V15" i="16"/>
  <c r="W15" i="16"/>
  <c r="X15" i="16"/>
  <c r="Y15" i="16"/>
  <c r="Z15" i="16"/>
  <c r="AA15" i="16"/>
  <c r="AB15" i="16"/>
  <c r="AC15" i="16"/>
  <c r="AD15" i="16"/>
  <c r="AE15" i="16"/>
  <c r="AF15" i="16"/>
  <c r="N16" i="16"/>
  <c r="O16" i="16"/>
  <c r="P16" i="16"/>
  <c r="Q16" i="16"/>
  <c r="R16" i="16"/>
  <c r="S16" i="16"/>
  <c r="T16" i="16"/>
  <c r="U16" i="16"/>
  <c r="V16" i="16"/>
  <c r="W16" i="16"/>
  <c r="X16" i="16"/>
  <c r="Y16" i="16"/>
  <c r="Z16" i="16"/>
  <c r="AA16" i="16"/>
  <c r="AB16" i="16"/>
  <c r="AC16" i="16"/>
  <c r="AD16" i="16"/>
  <c r="AE16" i="16"/>
  <c r="AF16" i="16"/>
  <c r="N17" i="16"/>
  <c r="O17" i="16"/>
  <c r="P17" i="16"/>
  <c r="Q17" i="16"/>
  <c r="R17" i="16"/>
  <c r="S17" i="16"/>
  <c r="T17" i="16"/>
  <c r="U17" i="16"/>
  <c r="V17" i="16"/>
  <c r="W17" i="16"/>
  <c r="X17" i="16"/>
  <c r="Y17" i="16"/>
  <c r="Z17" i="16"/>
  <c r="AA17" i="16"/>
  <c r="AB17" i="16"/>
  <c r="AC17" i="16"/>
  <c r="AD17" i="16"/>
  <c r="AE17" i="16"/>
  <c r="AF17" i="16"/>
  <c r="N18" i="16"/>
  <c r="O18" i="16"/>
  <c r="P18" i="16"/>
  <c r="Q18" i="16"/>
  <c r="R18" i="16"/>
  <c r="S18" i="16"/>
  <c r="T18" i="16"/>
  <c r="U18" i="16"/>
  <c r="V18" i="16"/>
  <c r="W18" i="16"/>
  <c r="X18" i="16"/>
  <c r="Y18" i="16"/>
  <c r="Z18" i="16"/>
  <c r="AA18" i="16"/>
  <c r="AB18" i="16"/>
  <c r="AC18" i="16"/>
  <c r="AD18" i="16"/>
  <c r="AE18" i="16"/>
  <c r="AF18" i="16"/>
  <c r="N19" i="16"/>
  <c r="O19" i="16"/>
  <c r="P19" i="16"/>
  <c r="Q19" i="16"/>
  <c r="R19" i="16"/>
  <c r="S19" i="16"/>
  <c r="T19" i="16"/>
  <c r="U19" i="16"/>
  <c r="V19" i="16"/>
  <c r="W19" i="16"/>
  <c r="X19" i="16"/>
  <c r="Y19" i="16"/>
  <c r="Z19" i="16"/>
  <c r="AA19" i="16"/>
  <c r="AB19" i="16"/>
  <c r="AC19" i="16"/>
  <c r="AD19" i="16"/>
  <c r="AE19" i="16"/>
  <c r="AF19" i="16"/>
  <c r="N20" i="16"/>
  <c r="O20" i="16"/>
  <c r="P20" i="16"/>
  <c r="Q20" i="16"/>
  <c r="R20" i="16"/>
  <c r="S20" i="16"/>
  <c r="T20" i="16"/>
  <c r="U20" i="16"/>
  <c r="V20" i="16"/>
  <c r="W20" i="16"/>
  <c r="X20" i="16"/>
  <c r="Y20" i="16"/>
  <c r="Z20" i="16"/>
  <c r="AA20" i="16"/>
  <c r="AB20" i="16"/>
  <c r="AC20" i="16"/>
  <c r="AD20" i="16"/>
  <c r="AE20" i="16"/>
  <c r="AF20" i="16"/>
  <c r="N21" i="16"/>
  <c r="O21" i="16"/>
  <c r="P21" i="16"/>
  <c r="Q21" i="16"/>
  <c r="R21" i="16"/>
  <c r="S21" i="16"/>
  <c r="T21" i="16"/>
  <c r="U21" i="16"/>
  <c r="V21" i="16"/>
  <c r="W21" i="16"/>
  <c r="X21" i="16"/>
  <c r="Y21" i="16"/>
  <c r="Z21" i="16"/>
  <c r="AA21" i="16"/>
  <c r="AB21" i="16"/>
  <c r="AC21" i="16"/>
  <c r="AD21" i="16"/>
  <c r="AE21" i="16"/>
  <c r="AF21" i="16"/>
  <c r="N22" i="16"/>
  <c r="O22" i="16"/>
  <c r="P22" i="16"/>
  <c r="Q22" i="16"/>
  <c r="R22" i="16"/>
  <c r="S22" i="16"/>
  <c r="T22" i="16"/>
  <c r="U22" i="16"/>
  <c r="V22" i="16"/>
  <c r="W22" i="16"/>
  <c r="X22" i="16"/>
  <c r="Y22" i="16"/>
  <c r="Z22" i="16"/>
  <c r="AA22" i="16"/>
  <c r="AB22" i="16"/>
  <c r="AC22" i="16"/>
  <c r="AD22" i="16"/>
  <c r="AE22" i="16"/>
  <c r="AF22" i="16"/>
  <c r="N23" i="16"/>
  <c r="O23" i="16"/>
  <c r="P23" i="16"/>
  <c r="Q23" i="16"/>
  <c r="R23" i="16"/>
  <c r="S23" i="16"/>
  <c r="T23" i="16"/>
  <c r="U23" i="16"/>
  <c r="V23" i="16"/>
  <c r="W23" i="16"/>
  <c r="X23" i="16"/>
  <c r="Y23" i="16"/>
  <c r="Z23" i="16"/>
  <c r="AA23" i="16"/>
  <c r="AB23" i="16"/>
  <c r="AC23" i="16"/>
  <c r="AD23" i="16"/>
  <c r="AE23" i="16"/>
  <c r="AF23" i="16"/>
  <c r="N24" i="16"/>
  <c r="O24" i="16"/>
  <c r="P24" i="16"/>
  <c r="Q24" i="16"/>
  <c r="R24" i="16"/>
  <c r="S24" i="16"/>
  <c r="T24" i="16"/>
  <c r="U24" i="16"/>
  <c r="V24" i="16"/>
  <c r="W24" i="16"/>
  <c r="X24" i="16"/>
  <c r="Y24" i="16"/>
  <c r="Z24" i="16"/>
  <c r="AA24" i="16"/>
  <c r="AB24" i="16"/>
  <c r="AC24" i="16"/>
  <c r="AD24" i="16"/>
  <c r="AE24" i="16"/>
  <c r="AF24" i="16"/>
  <c r="M24" i="16"/>
  <c r="M23" i="16"/>
  <c r="M22" i="16"/>
  <c r="M21" i="16"/>
  <c r="M20" i="16"/>
  <c r="M19" i="16"/>
  <c r="M18" i="16"/>
  <c r="M17" i="16"/>
  <c r="M16" i="16"/>
  <c r="M15" i="16"/>
  <c r="M14" i="16"/>
  <c r="M13" i="16"/>
  <c r="M12" i="16"/>
  <c r="M11" i="16"/>
  <c r="M10" i="16"/>
  <c r="M9" i="16"/>
  <c r="M8" i="16"/>
  <c r="M6" i="16"/>
  <c r="C6" i="16"/>
  <c r="D6" i="16"/>
  <c r="E6" i="16"/>
  <c r="F6" i="16"/>
  <c r="G6" i="16"/>
  <c r="H6" i="16"/>
  <c r="I6" i="16"/>
  <c r="J6" i="16"/>
  <c r="K6" i="16"/>
  <c r="C8" i="16"/>
  <c r="D8" i="16"/>
  <c r="E8" i="16"/>
  <c r="F8" i="16"/>
  <c r="G8" i="16"/>
  <c r="H8" i="16"/>
  <c r="I8" i="16"/>
  <c r="J8" i="16"/>
  <c r="K8" i="16"/>
  <c r="C9" i="16"/>
  <c r="D9" i="16"/>
  <c r="E9" i="16"/>
  <c r="F9" i="16"/>
  <c r="G9" i="16"/>
  <c r="H9" i="16"/>
  <c r="I9" i="16"/>
  <c r="J9" i="16"/>
  <c r="K9" i="16"/>
  <c r="C10" i="16"/>
  <c r="D10" i="16"/>
  <c r="E10" i="16"/>
  <c r="F10" i="16"/>
  <c r="G10" i="16"/>
  <c r="H10" i="16"/>
  <c r="I10" i="16"/>
  <c r="J10" i="16"/>
  <c r="K10" i="16"/>
  <c r="C11" i="16"/>
  <c r="D11" i="16"/>
  <c r="E11" i="16"/>
  <c r="F11" i="16"/>
  <c r="G11" i="16"/>
  <c r="H11" i="16"/>
  <c r="I11" i="16"/>
  <c r="J11" i="16"/>
  <c r="K11" i="16"/>
  <c r="C12" i="16"/>
  <c r="D12" i="16"/>
  <c r="E12" i="16"/>
  <c r="F12" i="16"/>
  <c r="G12" i="16"/>
  <c r="H12" i="16"/>
  <c r="I12" i="16"/>
  <c r="J12" i="16"/>
  <c r="K12" i="16"/>
  <c r="C13" i="16"/>
  <c r="D13" i="16"/>
  <c r="E13" i="16"/>
  <c r="F13" i="16"/>
  <c r="G13" i="16"/>
  <c r="H13" i="16"/>
  <c r="I13" i="16"/>
  <c r="J13" i="16"/>
  <c r="K13" i="16"/>
  <c r="C14" i="16"/>
  <c r="D14" i="16"/>
  <c r="E14" i="16"/>
  <c r="F14" i="16"/>
  <c r="G14" i="16"/>
  <c r="H14" i="16"/>
  <c r="I14" i="16"/>
  <c r="J14" i="16"/>
  <c r="K14" i="16"/>
  <c r="C15" i="16"/>
  <c r="D15" i="16"/>
  <c r="E15" i="16"/>
  <c r="F15" i="16"/>
  <c r="G15" i="16"/>
  <c r="H15" i="16"/>
  <c r="I15" i="16"/>
  <c r="J15" i="16"/>
  <c r="K15" i="16"/>
  <c r="C16" i="16"/>
  <c r="D16" i="16"/>
  <c r="E16" i="16"/>
  <c r="F16" i="16"/>
  <c r="G16" i="16"/>
  <c r="H16" i="16"/>
  <c r="I16" i="16"/>
  <c r="J16" i="16"/>
  <c r="K16" i="16"/>
  <c r="C17" i="16"/>
  <c r="D17" i="16"/>
  <c r="E17" i="16"/>
  <c r="F17" i="16"/>
  <c r="G17" i="16"/>
  <c r="H17" i="16"/>
  <c r="I17" i="16"/>
  <c r="J17" i="16"/>
  <c r="K17" i="16"/>
  <c r="C18" i="16"/>
  <c r="D18" i="16"/>
  <c r="E18" i="16"/>
  <c r="F18" i="16"/>
  <c r="G18" i="16"/>
  <c r="H18" i="16"/>
  <c r="I18" i="16"/>
  <c r="J18" i="16"/>
  <c r="K18" i="16"/>
  <c r="C19" i="16"/>
  <c r="D19" i="16"/>
  <c r="E19" i="16"/>
  <c r="F19" i="16"/>
  <c r="G19" i="16"/>
  <c r="H19" i="16"/>
  <c r="I19" i="16"/>
  <c r="J19" i="16"/>
  <c r="K19" i="16"/>
  <c r="C20" i="16"/>
  <c r="D20" i="16"/>
  <c r="E20" i="16"/>
  <c r="F20" i="16"/>
  <c r="G20" i="16"/>
  <c r="H20" i="16"/>
  <c r="I20" i="16"/>
  <c r="J20" i="16"/>
  <c r="K20" i="16"/>
  <c r="C21" i="16"/>
  <c r="D21" i="16"/>
  <c r="E21" i="16"/>
  <c r="F21" i="16"/>
  <c r="G21" i="16"/>
  <c r="H21" i="16"/>
  <c r="I21" i="16"/>
  <c r="J21" i="16"/>
  <c r="K21" i="16"/>
  <c r="C22" i="16"/>
  <c r="D22" i="16"/>
  <c r="E22" i="16"/>
  <c r="F22" i="16"/>
  <c r="G22" i="16"/>
  <c r="H22" i="16"/>
  <c r="I22" i="16"/>
  <c r="J22" i="16"/>
  <c r="K22" i="16"/>
  <c r="C23" i="16"/>
  <c r="D23" i="16"/>
  <c r="E23" i="16"/>
  <c r="F23" i="16"/>
  <c r="G23" i="16"/>
  <c r="H23" i="16"/>
  <c r="I23" i="16"/>
  <c r="J23" i="16"/>
  <c r="K23" i="16"/>
  <c r="C24" i="16"/>
  <c r="D24" i="16"/>
  <c r="E24" i="16"/>
  <c r="F24" i="16"/>
  <c r="G24" i="16"/>
  <c r="H24" i="16"/>
  <c r="I24" i="16"/>
  <c r="J24" i="16"/>
  <c r="K24" i="16"/>
  <c r="B24" i="16"/>
  <c r="B23" i="16"/>
  <c r="B22" i="16"/>
  <c r="B21" i="16"/>
  <c r="B20" i="16"/>
  <c r="B19" i="16"/>
  <c r="B18" i="16"/>
  <c r="B17" i="16"/>
  <c r="B16" i="16"/>
  <c r="B15" i="16"/>
  <c r="B14" i="16"/>
  <c r="B13" i="16"/>
  <c r="B12" i="16"/>
  <c r="B11" i="16"/>
  <c r="B10" i="16"/>
  <c r="B9" i="16"/>
  <c r="B8" i="16"/>
  <c r="B6" i="16"/>
  <c r="AF5" i="16"/>
  <c r="AE5" i="16"/>
  <c r="AD5" i="16"/>
  <c r="AC5" i="16"/>
  <c r="AB5" i="16"/>
  <c r="AA5" i="16"/>
  <c r="Z5" i="16"/>
  <c r="Y5" i="16"/>
  <c r="X5" i="16"/>
  <c r="W5" i="16"/>
  <c r="V5" i="16"/>
  <c r="U5" i="16"/>
  <c r="T5" i="16"/>
  <c r="S5" i="16"/>
  <c r="R5" i="16"/>
  <c r="Q5" i="16"/>
  <c r="P5" i="16"/>
  <c r="O5" i="16"/>
  <c r="N5" i="16"/>
  <c r="M5" i="16"/>
  <c r="C5" i="16"/>
  <c r="D5" i="16"/>
  <c r="E5" i="16"/>
  <c r="F5" i="16"/>
  <c r="G5" i="16"/>
  <c r="H5" i="16"/>
  <c r="I5" i="16"/>
  <c r="J5" i="16"/>
  <c r="K5" i="16"/>
  <c r="B5" i="16"/>
  <c r="N4" i="16"/>
  <c r="O4" i="16"/>
  <c r="P4" i="16"/>
  <c r="Q4" i="16"/>
  <c r="R4" i="16"/>
  <c r="S4" i="16"/>
  <c r="T4" i="16"/>
  <c r="U4" i="16"/>
  <c r="V4" i="16"/>
  <c r="W4" i="16"/>
  <c r="X4" i="16"/>
  <c r="Y4" i="16"/>
  <c r="Z4" i="16"/>
  <c r="AA4" i="16"/>
  <c r="AB4" i="16"/>
  <c r="AC4" i="16"/>
  <c r="AD4" i="16"/>
  <c r="AE4" i="16"/>
  <c r="AF4" i="16"/>
  <c r="M4" i="16"/>
  <c r="C4" i="16"/>
  <c r="D4" i="16"/>
  <c r="E4" i="16"/>
  <c r="F4" i="16"/>
  <c r="G4" i="16"/>
  <c r="H4" i="16"/>
  <c r="I4" i="16"/>
  <c r="J4" i="16"/>
  <c r="K4" i="16"/>
  <c r="B4" i="16"/>
  <c r="AZ291" i="15" l="1"/>
  <c r="AZ276" i="15"/>
  <c r="AZ261" i="15"/>
  <c r="AZ246" i="15"/>
  <c r="AZ231" i="15"/>
  <c r="AZ216" i="15"/>
  <c r="AZ201" i="15"/>
  <c r="AZ186" i="15"/>
  <c r="AZ171" i="15"/>
  <c r="AZ156" i="15"/>
  <c r="AZ141" i="15"/>
  <c r="AZ126" i="15"/>
  <c r="AZ111" i="15"/>
  <c r="AZ96" i="15"/>
  <c r="AZ81" i="15"/>
  <c r="AZ66" i="15"/>
  <c r="AZ51" i="15"/>
  <c r="AZ36" i="15"/>
  <c r="AZ21" i="15"/>
  <c r="AZ6" i="15"/>
  <c r="AS304" i="15"/>
  <c r="AQ304" i="15"/>
  <c r="AO304" i="15"/>
  <c r="AP304" i="15" s="1"/>
  <c r="AM304" i="15"/>
  <c r="AI304" i="15"/>
  <c r="AJ304" i="15" s="1"/>
  <c r="AF304" i="15"/>
  <c r="AG304" i="15" s="1"/>
  <c r="AD304" i="15"/>
  <c r="AC304" i="15"/>
  <c r="Z304" i="15" s="1"/>
  <c r="AA304" i="15" s="1"/>
  <c r="AS303" i="15"/>
  <c r="AQ303" i="15"/>
  <c r="AO303" i="15"/>
  <c r="AP303" i="15" s="1"/>
  <c r="AM303" i="15"/>
  <c r="AI303" i="15"/>
  <c r="AJ303" i="15" s="1"/>
  <c r="AF303" i="15"/>
  <c r="AG303" i="15" s="1"/>
  <c r="AD303" i="15"/>
  <c r="AC303" i="15"/>
  <c r="Z303" i="15" s="1"/>
  <c r="AA303" i="15" s="1"/>
  <c r="AS302" i="15"/>
  <c r="AQ302" i="15"/>
  <c r="AO302" i="15"/>
  <c r="AP302" i="15" s="1"/>
  <c r="AM302" i="15"/>
  <c r="AI302" i="15"/>
  <c r="AJ302" i="15" s="1"/>
  <c r="AF302" i="15"/>
  <c r="AG302" i="15" s="1"/>
  <c r="AD302" i="15"/>
  <c r="AC302" i="15"/>
  <c r="Y302" i="15"/>
  <c r="AS301" i="15"/>
  <c r="AQ301" i="15"/>
  <c r="AO301" i="15"/>
  <c r="AP301" i="15" s="1"/>
  <c r="AM301" i="15"/>
  <c r="AI301" i="15"/>
  <c r="AJ301" i="15" s="1"/>
  <c r="AF301" i="15"/>
  <c r="AG301" i="15" s="1"/>
  <c r="AD301" i="15"/>
  <c r="AC301" i="15"/>
  <c r="Z301" i="15"/>
  <c r="AA301" i="15" s="1"/>
  <c r="AS300" i="15"/>
  <c r="AQ300" i="15"/>
  <c r="AO300" i="15"/>
  <c r="AP300" i="15" s="1"/>
  <c r="AM300" i="15"/>
  <c r="AI300" i="15"/>
  <c r="AJ300" i="15" s="1"/>
  <c r="AF300" i="15"/>
  <c r="AG300" i="15" s="1"/>
  <c r="AD300" i="15"/>
  <c r="AC300" i="15"/>
  <c r="AS299" i="15"/>
  <c r="AQ299" i="15"/>
  <c r="AO299" i="15"/>
  <c r="AP299" i="15" s="1"/>
  <c r="AM299" i="15"/>
  <c r="AI299" i="15"/>
  <c r="AJ299" i="15" s="1"/>
  <c r="AF299" i="15"/>
  <c r="AG299" i="15" s="1"/>
  <c r="AD299" i="15"/>
  <c r="AC299" i="15"/>
  <c r="AS298" i="15"/>
  <c r="AQ298" i="15"/>
  <c r="AO298" i="15"/>
  <c r="AP298" i="15" s="1"/>
  <c r="AM298" i="15"/>
  <c r="AI298" i="15"/>
  <c r="AJ298" i="15" s="1"/>
  <c r="AF298" i="15"/>
  <c r="AG298" i="15" s="1"/>
  <c r="AD298" i="15"/>
  <c r="AC298" i="15"/>
  <c r="Z298" i="15" s="1"/>
  <c r="AA298" i="15" s="1"/>
  <c r="AH298" i="15" s="1"/>
  <c r="AK298" i="15" s="1"/>
  <c r="AV298" i="15" s="1"/>
  <c r="AW298" i="15" s="1"/>
  <c r="AX298" i="15" s="1"/>
  <c r="AY298" i="15" s="1"/>
  <c r="AS297" i="15"/>
  <c r="AQ297" i="15"/>
  <c r="AO297" i="15"/>
  <c r="AP297" i="15" s="1"/>
  <c r="AM297" i="15"/>
  <c r="AI297" i="15"/>
  <c r="AJ297" i="15" s="1"/>
  <c r="AF297" i="15"/>
  <c r="AG297" i="15" s="1"/>
  <c r="AD297" i="15"/>
  <c r="AC297" i="15"/>
  <c r="Z297" i="15" s="1"/>
  <c r="AA297" i="15" s="1"/>
  <c r="AH297" i="15" s="1"/>
  <c r="X297" i="15"/>
  <c r="AS296" i="15"/>
  <c r="AQ296" i="15"/>
  <c r="AO296" i="15"/>
  <c r="AP296" i="15" s="1"/>
  <c r="AM296" i="15"/>
  <c r="AI296" i="15"/>
  <c r="AJ296" i="15" s="1"/>
  <c r="AF296" i="15"/>
  <c r="AG296" i="15" s="1"/>
  <c r="AD296" i="15"/>
  <c r="AC296" i="15"/>
  <c r="Z296" i="15" s="1"/>
  <c r="AA296" i="15" s="1"/>
  <c r="AS295" i="15"/>
  <c r="AQ295" i="15"/>
  <c r="AO295" i="15"/>
  <c r="AP295" i="15" s="1"/>
  <c r="AM295" i="15"/>
  <c r="AI295" i="15"/>
  <c r="AJ295" i="15" s="1"/>
  <c r="AF295" i="15"/>
  <c r="AG295" i="15" s="1"/>
  <c r="AD295" i="15"/>
  <c r="AC295" i="15"/>
  <c r="Y295" i="15"/>
  <c r="AS294" i="15"/>
  <c r="AQ294" i="15"/>
  <c r="AO294" i="15"/>
  <c r="AP294" i="15" s="1"/>
  <c r="AM294" i="15"/>
  <c r="AI294" i="15"/>
  <c r="AJ294" i="15" s="1"/>
  <c r="AF294" i="15"/>
  <c r="AG294" i="15" s="1"/>
  <c r="AD294" i="15"/>
  <c r="AC294" i="15"/>
  <c r="Y294" i="15"/>
  <c r="AS293" i="15"/>
  <c r="AQ293" i="15"/>
  <c r="AO293" i="15"/>
  <c r="AP293" i="15" s="1"/>
  <c r="AM293" i="15"/>
  <c r="AI293" i="15"/>
  <c r="AJ293" i="15" s="1"/>
  <c r="AF293" i="15"/>
  <c r="AG293" i="15" s="1"/>
  <c r="AD293" i="15"/>
  <c r="AC293" i="15"/>
  <c r="Y293" i="15"/>
  <c r="AS292" i="15"/>
  <c r="AQ292" i="15"/>
  <c r="AO292" i="15"/>
  <c r="AP292" i="15" s="1"/>
  <c r="AM292" i="15"/>
  <c r="AI292" i="15"/>
  <c r="AJ292" i="15" s="1"/>
  <c r="AF292" i="15"/>
  <c r="AG292" i="15" s="1"/>
  <c r="AD292" i="15"/>
  <c r="AC292" i="15"/>
  <c r="Y292" i="15"/>
  <c r="Z292" i="15" s="1"/>
  <c r="AA292" i="15" s="1"/>
  <c r="AS291" i="15"/>
  <c r="AQ291" i="15"/>
  <c r="AO291" i="15"/>
  <c r="AP291" i="15" s="1"/>
  <c r="AM291" i="15"/>
  <c r="AI291" i="15"/>
  <c r="AJ291" i="15" s="1"/>
  <c r="AF291" i="15"/>
  <c r="AG291" i="15" s="1"/>
  <c r="AD291" i="15"/>
  <c r="AC291" i="15"/>
  <c r="Y291" i="15"/>
  <c r="AS289" i="15"/>
  <c r="AQ289" i="15"/>
  <c r="AO289" i="15"/>
  <c r="AP289" i="15" s="1"/>
  <c r="AM289" i="15"/>
  <c r="AI289" i="15"/>
  <c r="AJ289" i="15" s="1"/>
  <c r="AF289" i="15"/>
  <c r="AG289" i="15" s="1"/>
  <c r="AD289" i="15"/>
  <c r="AC289" i="15"/>
  <c r="AS288" i="15"/>
  <c r="AQ288" i="15"/>
  <c r="AO288" i="15"/>
  <c r="AP288" i="15" s="1"/>
  <c r="AM288" i="15"/>
  <c r="AI288" i="15"/>
  <c r="AJ288" i="15" s="1"/>
  <c r="AF288" i="15"/>
  <c r="AG288" i="15" s="1"/>
  <c r="AD288" i="15"/>
  <c r="Z288" i="15" s="1"/>
  <c r="AA288" i="15" s="1"/>
  <c r="AC288" i="15"/>
  <c r="AS287" i="15"/>
  <c r="AQ287" i="15"/>
  <c r="AP287" i="15"/>
  <c r="AO287" i="15"/>
  <c r="AM287" i="15"/>
  <c r="AI287" i="15"/>
  <c r="AJ287" i="15" s="1"/>
  <c r="AF287" i="15"/>
  <c r="AG287" i="15" s="1"/>
  <c r="AD287" i="15"/>
  <c r="AC287" i="15"/>
  <c r="Y287" i="15"/>
  <c r="AS286" i="15"/>
  <c r="AQ286" i="15"/>
  <c r="AO286" i="15"/>
  <c r="AP286" i="15" s="1"/>
  <c r="AM286" i="15"/>
  <c r="AI286" i="15"/>
  <c r="AJ286" i="15" s="1"/>
  <c r="AF286" i="15"/>
  <c r="AG286" i="15" s="1"/>
  <c r="AD286" i="15"/>
  <c r="AC286" i="15"/>
  <c r="AS285" i="15"/>
  <c r="AQ285" i="15"/>
  <c r="AO285" i="15"/>
  <c r="AP285" i="15" s="1"/>
  <c r="AM285" i="15"/>
  <c r="AI285" i="15"/>
  <c r="AJ285" i="15" s="1"/>
  <c r="AF285" i="15"/>
  <c r="AG285" i="15" s="1"/>
  <c r="AD285" i="15"/>
  <c r="AC285" i="15"/>
  <c r="AS284" i="15"/>
  <c r="AQ284" i="15"/>
  <c r="AO284" i="15"/>
  <c r="AP284" i="15" s="1"/>
  <c r="AM284" i="15"/>
  <c r="AI284" i="15"/>
  <c r="AJ284" i="15" s="1"/>
  <c r="AF284" i="15"/>
  <c r="AG284" i="15" s="1"/>
  <c r="AD284" i="15"/>
  <c r="AC284" i="15"/>
  <c r="AS283" i="15"/>
  <c r="AQ283" i="15"/>
  <c r="AO283" i="15"/>
  <c r="AP283" i="15" s="1"/>
  <c r="AM283" i="15"/>
  <c r="AI283" i="15"/>
  <c r="AJ283" i="15" s="1"/>
  <c r="AF283" i="15"/>
  <c r="AG283" i="15" s="1"/>
  <c r="AD283" i="15"/>
  <c r="AC283" i="15"/>
  <c r="AS282" i="15"/>
  <c r="AQ282" i="15"/>
  <c r="AO282" i="15"/>
  <c r="AP282" i="15" s="1"/>
  <c r="AM282" i="15"/>
  <c r="AI282" i="15"/>
  <c r="AJ282" i="15" s="1"/>
  <c r="AF282" i="15"/>
  <c r="AG282" i="15" s="1"/>
  <c r="AD282" i="15"/>
  <c r="AC282" i="15"/>
  <c r="Z282" i="15" s="1"/>
  <c r="AA282" i="15" s="1"/>
  <c r="X282" i="15"/>
  <c r="AS281" i="15"/>
  <c r="AQ281" i="15"/>
  <c r="AO281" i="15"/>
  <c r="AP281" i="15" s="1"/>
  <c r="AM281" i="15"/>
  <c r="AI281" i="15"/>
  <c r="AJ281" i="15" s="1"/>
  <c r="AF281" i="15"/>
  <c r="AG281" i="15" s="1"/>
  <c r="AD281" i="15"/>
  <c r="AC281" i="15"/>
  <c r="Z281" i="15" s="1"/>
  <c r="AA281" i="15" s="1"/>
  <c r="AS280" i="15"/>
  <c r="AQ280" i="15"/>
  <c r="AO280" i="15"/>
  <c r="AP280" i="15" s="1"/>
  <c r="AM280" i="15"/>
  <c r="AI280" i="15"/>
  <c r="AJ280" i="15" s="1"/>
  <c r="AF280" i="15"/>
  <c r="AG280" i="15" s="1"/>
  <c r="AD280" i="15"/>
  <c r="AC280" i="15"/>
  <c r="Y280" i="15"/>
  <c r="AS279" i="15"/>
  <c r="AQ279" i="15"/>
  <c r="AO279" i="15"/>
  <c r="AP279" i="15" s="1"/>
  <c r="AM279" i="15"/>
  <c r="AI279" i="15"/>
  <c r="AJ279" i="15" s="1"/>
  <c r="AF279" i="15"/>
  <c r="AG279" i="15" s="1"/>
  <c r="AD279" i="15"/>
  <c r="AC279" i="15"/>
  <c r="Y279" i="15"/>
  <c r="AS278" i="15"/>
  <c r="AQ278" i="15"/>
  <c r="AO278" i="15"/>
  <c r="AP278" i="15" s="1"/>
  <c r="AM278" i="15"/>
  <c r="AI278" i="15"/>
  <c r="AJ278" i="15" s="1"/>
  <c r="AF278" i="15"/>
  <c r="AG278" i="15" s="1"/>
  <c r="AD278" i="15"/>
  <c r="AC278" i="15"/>
  <c r="Y278" i="15"/>
  <c r="AS277" i="15"/>
  <c r="AQ277" i="15"/>
  <c r="AP277" i="15"/>
  <c r="AO277" i="15"/>
  <c r="AM277" i="15"/>
  <c r="AI277" i="15"/>
  <c r="AJ277" i="15" s="1"/>
  <c r="AF277" i="15"/>
  <c r="AG277" i="15" s="1"/>
  <c r="AD277" i="15"/>
  <c r="AC277" i="15"/>
  <c r="Y277" i="15"/>
  <c r="AS276" i="15"/>
  <c r="AQ276" i="15"/>
  <c r="AO276" i="15"/>
  <c r="AP276" i="15" s="1"/>
  <c r="AM276" i="15"/>
  <c r="AI276" i="15"/>
  <c r="AJ276" i="15" s="1"/>
  <c r="AF276" i="15"/>
  <c r="AG276" i="15" s="1"/>
  <c r="AD276" i="15"/>
  <c r="AC276" i="15"/>
  <c r="Y276" i="15"/>
  <c r="AS274" i="15"/>
  <c r="AQ274" i="15"/>
  <c r="AO274" i="15"/>
  <c r="AP274" i="15" s="1"/>
  <c r="AM274" i="15"/>
  <c r="AI274" i="15"/>
  <c r="AJ274" i="15" s="1"/>
  <c r="AF274" i="15"/>
  <c r="AG274" i="15" s="1"/>
  <c r="AD274" i="15"/>
  <c r="AC274" i="15"/>
  <c r="AS273" i="15"/>
  <c r="AQ273" i="15"/>
  <c r="AO273" i="15"/>
  <c r="AP273" i="15" s="1"/>
  <c r="AM273" i="15"/>
  <c r="AI273" i="15"/>
  <c r="AJ273" i="15" s="1"/>
  <c r="AF273" i="15"/>
  <c r="AG273" i="15" s="1"/>
  <c r="AD273" i="15"/>
  <c r="AC273" i="15"/>
  <c r="AS272" i="15"/>
  <c r="AQ272" i="15"/>
  <c r="AO272" i="15"/>
  <c r="AP272" i="15" s="1"/>
  <c r="AM272" i="15"/>
  <c r="AI272" i="15"/>
  <c r="AJ272" i="15" s="1"/>
  <c r="AF272" i="15"/>
  <c r="AG272" i="15" s="1"/>
  <c r="AD272" i="15"/>
  <c r="AC272" i="15"/>
  <c r="Y272" i="15"/>
  <c r="AS271" i="15"/>
  <c r="AQ271" i="15"/>
  <c r="AO271" i="15"/>
  <c r="AP271" i="15" s="1"/>
  <c r="AM271" i="15"/>
  <c r="AI271" i="15"/>
  <c r="AJ271" i="15" s="1"/>
  <c r="AF271" i="15"/>
  <c r="AG271" i="15" s="1"/>
  <c r="AD271" i="15"/>
  <c r="AC271" i="15"/>
  <c r="Z271" i="15" s="1"/>
  <c r="AA271" i="15" s="1"/>
  <c r="AS270" i="15"/>
  <c r="AQ270" i="15"/>
  <c r="AO270" i="15"/>
  <c r="AP270" i="15" s="1"/>
  <c r="AM270" i="15"/>
  <c r="AI270" i="15"/>
  <c r="AJ270" i="15" s="1"/>
  <c r="AF270" i="15"/>
  <c r="AG270" i="15" s="1"/>
  <c r="AD270" i="15"/>
  <c r="AC270" i="15"/>
  <c r="AS269" i="15"/>
  <c r="AQ269" i="15"/>
  <c r="AO269" i="15"/>
  <c r="AP269" i="15" s="1"/>
  <c r="AM269" i="15"/>
  <c r="AI269" i="15"/>
  <c r="AJ269" i="15" s="1"/>
  <c r="AF269" i="15"/>
  <c r="AG269" i="15" s="1"/>
  <c r="AD269" i="15"/>
  <c r="AC269" i="15"/>
  <c r="Z269" i="15" s="1"/>
  <c r="AA269" i="15" s="1"/>
  <c r="AS268" i="15"/>
  <c r="AQ268" i="15"/>
  <c r="AO268" i="15"/>
  <c r="AP268" i="15" s="1"/>
  <c r="AM268" i="15"/>
  <c r="AI268" i="15"/>
  <c r="AJ268" i="15" s="1"/>
  <c r="AF268" i="15"/>
  <c r="AG268" i="15" s="1"/>
  <c r="AD268" i="15"/>
  <c r="AC268" i="15"/>
  <c r="Z268" i="15" s="1"/>
  <c r="AA268" i="15" s="1"/>
  <c r="AS267" i="15"/>
  <c r="AQ267" i="15"/>
  <c r="AO267" i="15"/>
  <c r="AP267" i="15" s="1"/>
  <c r="AM267" i="15"/>
  <c r="AI267" i="15"/>
  <c r="AJ267" i="15" s="1"/>
  <c r="AF267" i="15"/>
  <c r="AG267" i="15" s="1"/>
  <c r="AD267" i="15"/>
  <c r="AC267" i="15"/>
  <c r="Z267" i="15" s="1"/>
  <c r="AA267" i="15" s="1"/>
  <c r="X267" i="15"/>
  <c r="AS266" i="15"/>
  <c r="AQ266" i="15"/>
  <c r="AO266" i="15"/>
  <c r="AP266" i="15" s="1"/>
  <c r="AM266" i="15"/>
  <c r="AI266" i="15"/>
  <c r="AJ266" i="15" s="1"/>
  <c r="AF266" i="15"/>
  <c r="AG266" i="15" s="1"/>
  <c r="AD266" i="15"/>
  <c r="AC266" i="15"/>
  <c r="AS265" i="15"/>
  <c r="AQ265" i="15"/>
  <c r="AO265" i="15"/>
  <c r="AP265" i="15" s="1"/>
  <c r="AM265" i="15"/>
  <c r="AI265" i="15"/>
  <c r="AJ265" i="15" s="1"/>
  <c r="AF265" i="15"/>
  <c r="AG265" i="15" s="1"/>
  <c r="AD265" i="15"/>
  <c r="AC265" i="15"/>
  <c r="Y265" i="15"/>
  <c r="Z265" i="15" s="1"/>
  <c r="AA265" i="15" s="1"/>
  <c r="AS264" i="15"/>
  <c r="AQ264" i="15"/>
  <c r="AO264" i="15"/>
  <c r="AP264" i="15" s="1"/>
  <c r="AM264" i="15"/>
  <c r="AJ264" i="15"/>
  <c r="AI264" i="15"/>
  <c r="AF264" i="15"/>
  <c r="AG264" i="15" s="1"/>
  <c r="AD264" i="15"/>
  <c r="AC264" i="15"/>
  <c r="Y264" i="15"/>
  <c r="AS263" i="15"/>
  <c r="AQ263" i="15"/>
  <c r="AP263" i="15"/>
  <c r="AO263" i="15"/>
  <c r="AM263" i="15"/>
  <c r="AI263" i="15"/>
  <c r="AJ263" i="15" s="1"/>
  <c r="AF263" i="15"/>
  <c r="AG263" i="15" s="1"/>
  <c r="AD263" i="15"/>
  <c r="AC263" i="15"/>
  <c r="Y263" i="15"/>
  <c r="Z263" i="15" s="1"/>
  <c r="AA263" i="15" s="1"/>
  <c r="AS262" i="15"/>
  <c r="AQ262" i="15"/>
  <c r="AO262" i="15"/>
  <c r="AP262" i="15" s="1"/>
  <c r="AM262" i="15"/>
  <c r="AI262" i="15"/>
  <c r="AJ262" i="15" s="1"/>
  <c r="AF262" i="15"/>
  <c r="AG262" i="15" s="1"/>
  <c r="AD262" i="15"/>
  <c r="AC262" i="15"/>
  <c r="Y262" i="15"/>
  <c r="AS261" i="15"/>
  <c r="AQ261" i="15"/>
  <c r="AO261" i="15"/>
  <c r="AP261" i="15" s="1"/>
  <c r="AM261" i="15"/>
  <c r="AI261" i="15"/>
  <c r="AJ261" i="15" s="1"/>
  <c r="AF261" i="15"/>
  <c r="AG261" i="15" s="1"/>
  <c r="AD261" i="15"/>
  <c r="AC261" i="15"/>
  <c r="Y261" i="15"/>
  <c r="Z261" i="15" s="1"/>
  <c r="AA261" i="15" s="1"/>
  <c r="AS259" i="15"/>
  <c r="AQ259" i="15"/>
  <c r="AO259" i="15"/>
  <c r="AP259" i="15" s="1"/>
  <c r="AM259" i="15"/>
  <c r="AI259" i="15"/>
  <c r="AJ259" i="15" s="1"/>
  <c r="AF259" i="15"/>
  <c r="AG259" i="15" s="1"/>
  <c r="AD259" i="15"/>
  <c r="AC259" i="15"/>
  <c r="Z259" i="15"/>
  <c r="AA259" i="15" s="1"/>
  <c r="AS258" i="15"/>
  <c r="AQ258" i="15"/>
  <c r="AO258" i="15"/>
  <c r="AP258" i="15" s="1"/>
  <c r="AM258" i="15"/>
  <c r="AI258" i="15"/>
  <c r="AJ258" i="15" s="1"/>
  <c r="AF258" i="15"/>
  <c r="AG258" i="15" s="1"/>
  <c r="AD258" i="15"/>
  <c r="Z258" i="15" s="1"/>
  <c r="AA258" i="15" s="1"/>
  <c r="AC258" i="15"/>
  <c r="AS257" i="15"/>
  <c r="AQ257" i="15"/>
  <c r="AO257" i="15"/>
  <c r="AP257" i="15" s="1"/>
  <c r="AM257" i="15"/>
  <c r="AI257" i="15"/>
  <c r="AJ257" i="15" s="1"/>
  <c r="AF257" i="15"/>
  <c r="AG257" i="15" s="1"/>
  <c r="AD257" i="15"/>
  <c r="AC257" i="15"/>
  <c r="Y257" i="15"/>
  <c r="Z257" i="15" s="1"/>
  <c r="AA257" i="15" s="1"/>
  <c r="AS256" i="15"/>
  <c r="AQ256" i="15"/>
  <c r="AO256" i="15"/>
  <c r="AP256" i="15" s="1"/>
  <c r="AM256" i="15"/>
  <c r="AI256" i="15"/>
  <c r="AJ256" i="15" s="1"/>
  <c r="AF256" i="15"/>
  <c r="AG256" i="15" s="1"/>
  <c r="AD256" i="15"/>
  <c r="AC256" i="15"/>
  <c r="Z256" i="15" s="1"/>
  <c r="AA256" i="15" s="1"/>
  <c r="AS255" i="15"/>
  <c r="AQ255" i="15"/>
  <c r="AO255" i="15"/>
  <c r="AP255" i="15" s="1"/>
  <c r="AM255" i="15"/>
  <c r="AI255" i="15"/>
  <c r="AJ255" i="15" s="1"/>
  <c r="AF255" i="15"/>
  <c r="AG255" i="15" s="1"/>
  <c r="AD255" i="15"/>
  <c r="AC255" i="15"/>
  <c r="AS254" i="15"/>
  <c r="AQ254" i="15"/>
  <c r="AO254" i="15"/>
  <c r="AP254" i="15" s="1"/>
  <c r="AM254" i="15"/>
  <c r="AI254" i="15"/>
  <c r="AJ254" i="15" s="1"/>
  <c r="AF254" i="15"/>
  <c r="AG254" i="15" s="1"/>
  <c r="AD254" i="15"/>
  <c r="AC254" i="15"/>
  <c r="Z254" i="15" s="1"/>
  <c r="AA254" i="15" s="1"/>
  <c r="AH254" i="15" s="1"/>
  <c r="AS253" i="15"/>
  <c r="AQ253" i="15"/>
  <c r="AO253" i="15"/>
  <c r="AP253" i="15" s="1"/>
  <c r="AM253" i="15"/>
  <c r="AI253" i="15"/>
  <c r="AJ253" i="15" s="1"/>
  <c r="AF253" i="15"/>
  <c r="AG253" i="15" s="1"/>
  <c r="AD253" i="15"/>
  <c r="AC253" i="15"/>
  <c r="AS252" i="15"/>
  <c r="AQ252" i="15"/>
  <c r="AO252" i="15"/>
  <c r="AP252" i="15" s="1"/>
  <c r="AM252" i="15"/>
  <c r="AI252" i="15"/>
  <c r="AJ252" i="15" s="1"/>
  <c r="AF252" i="15"/>
  <c r="AG252" i="15" s="1"/>
  <c r="AD252" i="15"/>
  <c r="AC252" i="15"/>
  <c r="Z252" i="15" s="1"/>
  <c r="AA252" i="15" s="1"/>
  <c r="X252" i="15"/>
  <c r="AS251" i="15"/>
  <c r="AQ251" i="15"/>
  <c r="AO251" i="15"/>
  <c r="AP251" i="15" s="1"/>
  <c r="AM251" i="15"/>
  <c r="AI251" i="15"/>
  <c r="AJ251" i="15" s="1"/>
  <c r="AF251" i="15"/>
  <c r="AG251" i="15" s="1"/>
  <c r="AD251" i="15"/>
  <c r="Z251" i="15" s="1"/>
  <c r="AA251" i="15" s="1"/>
  <c r="AC251" i="15"/>
  <c r="AS250" i="15"/>
  <c r="AQ250" i="15"/>
  <c r="AO250" i="15"/>
  <c r="AP250" i="15" s="1"/>
  <c r="AM250" i="15"/>
  <c r="AI250" i="15"/>
  <c r="AJ250" i="15" s="1"/>
  <c r="AF250" i="15"/>
  <c r="AG250" i="15" s="1"/>
  <c r="AD250" i="15"/>
  <c r="AC250" i="15"/>
  <c r="Y250" i="15"/>
  <c r="AS249" i="15"/>
  <c r="AQ249" i="15"/>
  <c r="AO249" i="15"/>
  <c r="AP249" i="15" s="1"/>
  <c r="AM249" i="15"/>
  <c r="AI249" i="15"/>
  <c r="AJ249" i="15" s="1"/>
  <c r="AF249" i="15"/>
  <c r="AG249" i="15" s="1"/>
  <c r="AD249" i="15"/>
  <c r="AC249" i="15"/>
  <c r="Y249" i="15"/>
  <c r="Z249" i="15" s="1"/>
  <c r="AA249" i="15" s="1"/>
  <c r="AS248" i="15"/>
  <c r="AQ248" i="15"/>
  <c r="AO248" i="15"/>
  <c r="AP248" i="15" s="1"/>
  <c r="AM248" i="15"/>
  <c r="AI248" i="15"/>
  <c r="AJ248" i="15" s="1"/>
  <c r="AF248" i="15"/>
  <c r="AG248" i="15" s="1"/>
  <c r="AD248" i="15"/>
  <c r="AC248" i="15"/>
  <c r="Y248" i="15"/>
  <c r="AS247" i="15"/>
  <c r="AQ247" i="15"/>
  <c r="AO247" i="15"/>
  <c r="AP247" i="15" s="1"/>
  <c r="AM247" i="15"/>
  <c r="AI247" i="15"/>
  <c r="AJ247" i="15" s="1"/>
  <c r="AF247" i="15"/>
  <c r="AG247" i="15" s="1"/>
  <c r="AD247" i="15"/>
  <c r="AC247" i="15"/>
  <c r="Y247" i="15"/>
  <c r="AS246" i="15"/>
  <c r="AQ246" i="15"/>
  <c r="AO246" i="15"/>
  <c r="AP246" i="15" s="1"/>
  <c r="AM246" i="15"/>
  <c r="AI246" i="15"/>
  <c r="AJ246" i="15" s="1"/>
  <c r="AF246" i="15"/>
  <c r="AG246" i="15" s="1"/>
  <c r="AD246" i="15"/>
  <c r="AC246" i="15"/>
  <c r="Y246" i="15"/>
  <c r="AS244" i="15"/>
  <c r="AQ244" i="15"/>
  <c r="AO244" i="15"/>
  <c r="AP244" i="15" s="1"/>
  <c r="AM244" i="15"/>
  <c r="AI244" i="15"/>
  <c r="AJ244" i="15" s="1"/>
  <c r="AF244" i="15"/>
  <c r="AG244" i="15" s="1"/>
  <c r="AD244" i="15"/>
  <c r="AC244" i="15"/>
  <c r="AS243" i="15"/>
  <c r="AQ243" i="15"/>
  <c r="AO243" i="15"/>
  <c r="AP243" i="15" s="1"/>
  <c r="AM243" i="15"/>
  <c r="AI243" i="15"/>
  <c r="AJ243" i="15" s="1"/>
  <c r="AF243" i="15"/>
  <c r="AG243" i="15" s="1"/>
  <c r="AD243" i="15"/>
  <c r="AC243" i="15"/>
  <c r="Z243" i="15" s="1"/>
  <c r="AA243" i="15" s="1"/>
  <c r="AS242" i="15"/>
  <c r="AQ242" i="15"/>
  <c r="AO242" i="15"/>
  <c r="AP242" i="15" s="1"/>
  <c r="AM242" i="15"/>
  <c r="AI242" i="15"/>
  <c r="AJ242" i="15" s="1"/>
  <c r="AF242" i="15"/>
  <c r="AG242" i="15" s="1"/>
  <c r="AD242" i="15"/>
  <c r="AC242" i="15"/>
  <c r="Y242" i="15"/>
  <c r="AS241" i="15"/>
  <c r="AQ241" i="15"/>
  <c r="AO241" i="15"/>
  <c r="AP241" i="15" s="1"/>
  <c r="AM241" i="15"/>
  <c r="AI241" i="15"/>
  <c r="AJ241" i="15" s="1"/>
  <c r="AF241" i="15"/>
  <c r="AG241" i="15" s="1"/>
  <c r="AD241" i="15"/>
  <c r="AC241" i="15"/>
  <c r="Z241" i="15" s="1"/>
  <c r="AA241" i="15" s="1"/>
  <c r="AS240" i="15"/>
  <c r="AQ240" i="15"/>
  <c r="AO240" i="15"/>
  <c r="AP240" i="15" s="1"/>
  <c r="AM240" i="15"/>
  <c r="AI240" i="15"/>
  <c r="AJ240" i="15" s="1"/>
  <c r="AF240" i="15"/>
  <c r="AG240" i="15" s="1"/>
  <c r="AD240" i="15"/>
  <c r="AC240" i="15"/>
  <c r="AS239" i="15"/>
  <c r="AQ239" i="15"/>
  <c r="AP239" i="15"/>
  <c r="AO239" i="15"/>
  <c r="AM239" i="15"/>
  <c r="AI239" i="15"/>
  <c r="AJ239" i="15" s="1"/>
  <c r="AF239" i="15"/>
  <c r="AG239" i="15" s="1"/>
  <c r="AD239" i="15"/>
  <c r="AC239" i="15"/>
  <c r="AS238" i="15"/>
  <c r="AQ238" i="15"/>
  <c r="AO238" i="15"/>
  <c r="AP238" i="15" s="1"/>
  <c r="AM238" i="15"/>
  <c r="AI238" i="15"/>
  <c r="AJ238" i="15" s="1"/>
  <c r="AF238" i="15"/>
  <c r="AG238" i="15" s="1"/>
  <c r="AD238" i="15"/>
  <c r="AC238" i="15"/>
  <c r="AS237" i="15"/>
  <c r="AQ237" i="15"/>
  <c r="AO237" i="15"/>
  <c r="AP237" i="15" s="1"/>
  <c r="AM237" i="15"/>
  <c r="AI237" i="15"/>
  <c r="AJ237" i="15" s="1"/>
  <c r="AF237" i="15"/>
  <c r="AG237" i="15" s="1"/>
  <c r="AD237" i="15"/>
  <c r="AC237" i="15"/>
  <c r="Z237" i="15" s="1"/>
  <c r="AA237" i="15" s="1"/>
  <c r="X237" i="15"/>
  <c r="AS236" i="15"/>
  <c r="AQ236" i="15"/>
  <c r="AO236" i="15"/>
  <c r="AP236" i="15" s="1"/>
  <c r="AM236" i="15"/>
  <c r="AI236" i="15"/>
  <c r="AJ236" i="15" s="1"/>
  <c r="AF236" i="15"/>
  <c r="AG236" i="15" s="1"/>
  <c r="AD236" i="15"/>
  <c r="AC236" i="15"/>
  <c r="Z236" i="15" s="1"/>
  <c r="AA236" i="15" s="1"/>
  <c r="AS235" i="15"/>
  <c r="AQ235" i="15"/>
  <c r="AO235" i="15"/>
  <c r="AP235" i="15" s="1"/>
  <c r="AM235" i="15"/>
  <c r="AI235" i="15"/>
  <c r="AJ235" i="15" s="1"/>
  <c r="AF235" i="15"/>
  <c r="AG235" i="15" s="1"/>
  <c r="AD235" i="15"/>
  <c r="AC235" i="15"/>
  <c r="Y235" i="15"/>
  <c r="Z235" i="15" s="1"/>
  <c r="AA235" i="15" s="1"/>
  <c r="AS234" i="15"/>
  <c r="AQ234" i="15"/>
  <c r="AO234" i="15"/>
  <c r="AP234" i="15" s="1"/>
  <c r="AM234" i="15"/>
  <c r="AJ234" i="15"/>
  <c r="AI234" i="15"/>
  <c r="AF234" i="15"/>
  <c r="AG234" i="15" s="1"/>
  <c r="AD234" i="15"/>
  <c r="AC234" i="15"/>
  <c r="Y234" i="15"/>
  <c r="Z234" i="15" s="1"/>
  <c r="AA234" i="15" s="1"/>
  <c r="AS233" i="15"/>
  <c r="AQ233" i="15"/>
  <c r="AO233" i="15"/>
  <c r="AP233" i="15" s="1"/>
  <c r="AM233" i="15"/>
  <c r="AI233" i="15"/>
  <c r="AJ233" i="15" s="1"/>
  <c r="AF233" i="15"/>
  <c r="AG233" i="15" s="1"/>
  <c r="AD233" i="15"/>
  <c r="AC233" i="15"/>
  <c r="Y233" i="15"/>
  <c r="Z233" i="15" s="1"/>
  <c r="AA233" i="15" s="1"/>
  <c r="AS232" i="15"/>
  <c r="AQ232" i="15"/>
  <c r="AO232" i="15"/>
  <c r="AP232" i="15" s="1"/>
  <c r="AM232" i="15"/>
  <c r="AI232" i="15"/>
  <c r="AJ232" i="15" s="1"/>
  <c r="AF232" i="15"/>
  <c r="AG232" i="15" s="1"/>
  <c r="AD232" i="15"/>
  <c r="AC232" i="15"/>
  <c r="Y232" i="15"/>
  <c r="AS231" i="15"/>
  <c r="AQ231" i="15"/>
  <c r="AO231" i="15"/>
  <c r="AP231" i="15" s="1"/>
  <c r="AM231" i="15"/>
  <c r="AI231" i="15"/>
  <c r="AJ231" i="15" s="1"/>
  <c r="AF231" i="15"/>
  <c r="AG231" i="15" s="1"/>
  <c r="AD231" i="15"/>
  <c r="AC231" i="15"/>
  <c r="Y231" i="15"/>
  <c r="AS229" i="15"/>
  <c r="AQ229" i="15"/>
  <c r="AO229" i="15"/>
  <c r="AP229" i="15" s="1"/>
  <c r="AM229" i="15"/>
  <c r="AI229" i="15"/>
  <c r="AJ229" i="15" s="1"/>
  <c r="AF229" i="15"/>
  <c r="AG229" i="15" s="1"/>
  <c r="AD229" i="15"/>
  <c r="Z229" i="15" s="1"/>
  <c r="AA229" i="15" s="1"/>
  <c r="AC229" i="15"/>
  <c r="AS228" i="15"/>
  <c r="AQ228" i="15"/>
  <c r="AP228" i="15"/>
  <c r="AO228" i="15"/>
  <c r="AM228" i="15"/>
  <c r="AI228" i="15"/>
  <c r="AJ228" i="15" s="1"/>
  <c r="AF228" i="15"/>
  <c r="AG228" i="15" s="1"/>
  <c r="AD228" i="15"/>
  <c r="AC228" i="15"/>
  <c r="Z228" i="15" s="1"/>
  <c r="AA228" i="15" s="1"/>
  <c r="AS227" i="15"/>
  <c r="AQ227" i="15"/>
  <c r="AO227" i="15"/>
  <c r="AP227" i="15" s="1"/>
  <c r="AM227" i="15"/>
  <c r="AI227" i="15"/>
  <c r="AJ227" i="15" s="1"/>
  <c r="AF227" i="15"/>
  <c r="AG227" i="15" s="1"/>
  <c r="AD227" i="15"/>
  <c r="AC227" i="15"/>
  <c r="Y227" i="15"/>
  <c r="AS226" i="15"/>
  <c r="AQ226" i="15"/>
  <c r="AO226" i="15"/>
  <c r="AP226" i="15" s="1"/>
  <c r="AM226" i="15"/>
  <c r="AI226" i="15"/>
  <c r="AJ226" i="15" s="1"/>
  <c r="AF226" i="15"/>
  <c r="AG226" i="15" s="1"/>
  <c r="AD226" i="15"/>
  <c r="AC226" i="15"/>
  <c r="AS225" i="15"/>
  <c r="AQ225" i="15"/>
  <c r="AO225" i="15"/>
  <c r="AP225" i="15" s="1"/>
  <c r="AM225" i="15"/>
  <c r="AI225" i="15"/>
  <c r="AJ225" i="15" s="1"/>
  <c r="AF225" i="15"/>
  <c r="AG225" i="15" s="1"/>
  <c r="AD225" i="15"/>
  <c r="Z225" i="15" s="1"/>
  <c r="AA225" i="15" s="1"/>
  <c r="AC225" i="15"/>
  <c r="AS224" i="15"/>
  <c r="AQ224" i="15"/>
  <c r="AO224" i="15"/>
  <c r="AP224" i="15" s="1"/>
  <c r="AM224" i="15"/>
  <c r="AI224" i="15"/>
  <c r="AJ224" i="15" s="1"/>
  <c r="AF224" i="15"/>
  <c r="AG224" i="15" s="1"/>
  <c r="AD224" i="15"/>
  <c r="AC224" i="15"/>
  <c r="AS223" i="15"/>
  <c r="AQ223" i="15"/>
  <c r="AO223" i="15"/>
  <c r="AP223" i="15" s="1"/>
  <c r="AM223" i="15"/>
  <c r="AI223" i="15"/>
  <c r="AJ223" i="15" s="1"/>
  <c r="AF223" i="15"/>
  <c r="AG223" i="15" s="1"/>
  <c r="AD223" i="15"/>
  <c r="AC223" i="15"/>
  <c r="AS222" i="15"/>
  <c r="AQ222" i="15"/>
  <c r="AO222" i="15"/>
  <c r="AP222" i="15" s="1"/>
  <c r="AM222" i="15"/>
  <c r="AI222" i="15"/>
  <c r="AJ222" i="15" s="1"/>
  <c r="AG222" i="15"/>
  <c r="AF222" i="15"/>
  <c r="AD222" i="15"/>
  <c r="AC222" i="15"/>
  <c r="Z222" i="15" s="1"/>
  <c r="AA222" i="15" s="1"/>
  <c r="X222" i="15"/>
  <c r="AS221" i="15"/>
  <c r="AQ221" i="15"/>
  <c r="AO221" i="15"/>
  <c r="AP221" i="15" s="1"/>
  <c r="AM221" i="15"/>
  <c r="AI221" i="15"/>
  <c r="AJ221" i="15" s="1"/>
  <c r="AF221" i="15"/>
  <c r="AG221" i="15" s="1"/>
  <c r="AD221" i="15"/>
  <c r="AC221" i="15"/>
  <c r="Z221" i="15" s="1"/>
  <c r="AA221" i="15" s="1"/>
  <c r="AS220" i="15"/>
  <c r="AQ220" i="15"/>
  <c r="AO220" i="15"/>
  <c r="AP220" i="15" s="1"/>
  <c r="AM220" i="15"/>
  <c r="AJ220" i="15"/>
  <c r="AI220" i="15"/>
  <c r="AF220" i="15"/>
  <c r="AG220" i="15" s="1"/>
  <c r="AD220" i="15"/>
  <c r="AC220" i="15"/>
  <c r="Y220" i="15"/>
  <c r="AS219" i="15"/>
  <c r="AQ219" i="15"/>
  <c r="AP219" i="15"/>
  <c r="AO219" i="15"/>
  <c r="AM219" i="15"/>
  <c r="AI219" i="15"/>
  <c r="AJ219" i="15" s="1"/>
  <c r="AF219" i="15"/>
  <c r="AG219" i="15" s="1"/>
  <c r="AD219" i="15"/>
  <c r="AC219" i="15"/>
  <c r="Y219" i="15"/>
  <c r="AS218" i="15"/>
  <c r="AQ218" i="15"/>
  <c r="AO218" i="15"/>
  <c r="AP218" i="15" s="1"/>
  <c r="AM218" i="15"/>
  <c r="AI218" i="15"/>
  <c r="AJ218" i="15" s="1"/>
  <c r="AF218" i="15"/>
  <c r="AG218" i="15" s="1"/>
  <c r="AD218" i="15"/>
  <c r="AC218" i="15"/>
  <c r="Y218" i="15"/>
  <c r="AS217" i="15"/>
  <c r="AQ217" i="15"/>
  <c r="AO217" i="15"/>
  <c r="AP217" i="15" s="1"/>
  <c r="AM217" i="15"/>
  <c r="AI217" i="15"/>
  <c r="AJ217" i="15" s="1"/>
  <c r="AF217" i="15"/>
  <c r="AG217" i="15" s="1"/>
  <c r="AD217" i="15"/>
  <c r="AC217" i="15"/>
  <c r="Y217" i="15"/>
  <c r="AS216" i="15"/>
  <c r="AQ216" i="15"/>
  <c r="AO216" i="15"/>
  <c r="AP216" i="15" s="1"/>
  <c r="AM216" i="15"/>
  <c r="AI216" i="15"/>
  <c r="AJ216" i="15" s="1"/>
  <c r="AF216" i="15"/>
  <c r="AG216" i="15" s="1"/>
  <c r="AD216" i="15"/>
  <c r="AC216" i="15"/>
  <c r="Y216" i="15"/>
  <c r="AS214" i="15"/>
  <c r="AQ214" i="15"/>
  <c r="AO214" i="15"/>
  <c r="AP214" i="15" s="1"/>
  <c r="AM214" i="15"/>
  <c r="AI214" i="15"/>
  <c r="AJ214" i="15" s="1"/>
  <c r="AF214" i="15"/>
  <c r="AG214" i="15" s="1"/>
  <c r="AD214" i="15"/>
  <c r="AC214" i="15"/>
  <c r="AS213" i="15"/>
  <c r="AQ213" i="15"/>
  <c r="AO213" i="15"/>
  <c r="AP213" i="15" s="1"/>
  <c r="AM213" i="15"/>
  <c r="AI213" i="15"/>
  <c r="AJ213" i="15" s="1"/>
  <c r="AF213" i="15"/>
  <c r="AG213" i="15" s="1"/>
  <c r="AD213" i="15"/>
  <c r="AC213" i="15"/>
  <c r="Z213" i="15" s="1"/>
  <c r="AA213" i="15" s="1"/>
  <c r="AS212" i="15"/>
  <c r="AQ212" i="15"/>
  <c r="AO212" i="15"/>
  <c r="AP212" i="15" s="1"/>
  <c r="AM212" i="15"/>
  <c r="AI212" i="15"/>
  <c r="AJ212" i="15" s="1"/>
  <c r="AF212" i="15"/>
  <c r="AG212" i="15" s="1"/>
  <c r="AD212" i="15"/>
  <c r="AC212" i="15"/>
  <c r="Y212" i="15"/>
  <c r="Z212" i="15" s="1"/>
  <c r="AA212" i="15" s="1"/>
  <c r="AS211" i="15"/>
  <c r="AQ211" i="15"/>
  <c r="AO211" i="15"/>
  <c r="AP211" i="15" s="1"/>
  <c r="AM211" i="15"/>
  <c r="AI211" i="15"/>
  <c r="AJ211" i="15" s="1"/>
  <c r="AF211" i="15"/>
  <c r="AG211" i="15" s="1"/>
  <c r="AD211" i="15"/>
  <c r="AC211" i="15"/>
  <c r="Z211" i="15"/>
  <c r="AA211" i="15" s="1"/>
  <c r="AS210" i="15"/>
  <c r="AQ210" i="15"/>
  <c r="AO210" i="15"/>
  <c r="AP210" i="15" s="1"/>
  <c r="AM210" i="15"/>
  <c r="AI210" i="15"/>
  <c r="AJ210" i="15" s="1"/>
  <c r="AF210" i="15"/>
  <c r="AG210" i="15" s="1"/>
  <c r="AD210" i="15"/>
  <c r="Z210" i="15" s="1"/>
  <c r="AA210" i="15" s="1"/>
  <c r="AC210" i="15"/>
  <c r="AS209" i="15"/>
  <c r="AQ209" i="15"/>
  <c r="AP209" i="15"/>
  <c r="AO209" i="15"/>
  <c r="AM209" i="15"/>
  <c r="AI209" i="15"/>
  <c r="AJ209" i="15" s="1"/>
  <c r="AF209" i="15"/>
  <c r="AG209" i="15" s="1"/>
  <c r="AD209" i="15"/>
  <c r="AC209" i="15"/>
  <c r="AS208" i="15"/>
  <c r="AQ208" i="15"/>
  <c r="AO208" i="15"/>
  <c r="AP208" i="15" s="1"/>
  <c r="AM208" i="15"/>
  <c r="AI208" i="15"/>
  <c r="AJ208" i="15" s="1"/>
  <c r="AF208" i="15"/>
  <c r="AG208" i="15" s="1"/>
  <c r="AD208" i="15"/>
  <c r="AC208" i="15"/>
  <c r="AS207" i="15"/>
  <c r="AQ207" i="15"/>
  <c r="AO207" i="15"/>
  <c r="AP207" i="15" s="1"/>
  <c r="AM207" i="15"/>
  <c r="AI207" i="15"/>
  <c r="AJ207" i="15" s="1"/>
  <c r="AF207" i="15"/>
  <c r="AG207" i="15" s="1"/>
  <c r="AD207" i="15"/>
  <c r="AC207" i="15"/>
  <c r="Z207" i="15"/>
  <c r="AA207" i="15" s="1"/>
  <c r="X207" i="15"/>
  <c r="AS206" i="15"/>
  <c r="AQ206" i="15"/>
  <c r="AO206" i="15"/>
  <c r="AP206" i="15" s="1"/>
  <c r="AM206" i="15"/>
  <c r="AI206" i="15"/>
  <c r="AJ206" i="15" s="1"/>
  <c r="AF206" i="15"/>
  <c r="AG206" i="15" s="1"/>
  <c r="AD206" i="15"/>
  <c r="AC206" i="15"/>
  <c r="AS205" i="15"/>
  <c r="AQ205" i="15"/>
  <c r="AO205" i="15"/>
  <c r="AP205" i="15" s="1"/>
  <c r="AM205" i="15"/>
  <c r="AJ205" i="15"/>
  <c r="AI205" i="15"/>
  <c r="AF205" i="15"/>
  <c r="AG205" i="15" s="1"/>
  <c r="AD205" i="15"/>
  <c r="AC205" i="15"/>
  <c r="Y205" i="15"/>
  <c r="AS204" i="15"/>
  <c r="AQ204" i="15"/>
  <c r="AO204" i="15"/>
  <c r="AP204" i="15" s="1"/>
  <c r="AM204" i="15"/>
  <c r="AJ204" i="15"/>
  <c r="AI204" i="15"/>
  <c r="AF204" i="15"/>
  <c r="AG204" i="15" s="1"/>
  <c r="AD204" i="15"/>
  <c r="AC204" i="15"/>
  <c r="Y204" i="15"/>
  <c r="Z204" i="15" s="1"/>
  <c r="AA204" i="15" s="1"/>
  <c r="AS203" i="15"/>
  <c r="AQ203" i="15"/>
  <c r="AO203" i="15"/>
  <c r="AP203" i="15" s="1"/>
  <c r="AM203" i="15"/>
  <c r="AI203" i="15"/>
  <c r="AJ203" i="15" s="1"/>
  <c r="AF203" i="15"/>
  <c r="AG203" i="15" s="1"/>
  <c r="AD203" i="15"/>
  <c r="AC203" i="15"/>
  <c r="Y203" i="15"/>
  <c r="AS202" i="15"/>
  <c r="AQ202" i="15"/>
  <c r="AO202" i="15"/>
  <c r="AP202" i="15" s="1"/>
  <c r="AM202" i="15"/>
  <c r="AI202" i="15"/>
  <c r="AJ202" i="15" s="1"/>
  <c r="AF202" i="15"/>
  <c r="AG202" i="15" s="1"/>
  <c r="AD202" i="15"/>
  <c r="AC202" i="15"/>
  <c r="Y202" i="15"/>
  <c r="AS201" i="15"/>
  <c r="AQ201" i="15"/>
  <c r="AO201" i="15"/>
  <c r="AP201" i="15" s="1"/>
  <c r="AM201" i="15"/>
  <c r="AI201" i="15"/>
  <c r="AJ201" i="15" s="1"/>
  <c r="AF201" i="15"/>
  <c r="AG201" i="15" s="1"/>
  <c r="AD201" i="15"/>
  <c r="AC201" i="15"/>
  <c r="Y201" i="15"/>
  <c r="AS199" i="15"/>
  <c r="AQ199" i="15"/>
  <c r="AO199" i="15"/>
  <c r="AP199" i="15" s="1"/>
  <c r="AM199" i="15"/>
  <c r="AI199" i="15"/>
  <c r="AJ199" i="15" s="1"/>
  <c r="AF199" i="15"/>
  <c r="AG199" i="15" s="1"/>
  <c r="AD199" i="15"/>
  <c r="AC199" i="15"/>
  <c r="Z199" i="15" s="1"/>
  <c r="AA199" i="15" s="1"/>
  <c r="AS198" i="15"/>
  <c r="AQ198" i="15"/>
  <c r="AO198" i="15"/>
  <c r="AP198" i="15" s="1"/>
  <c r="AM198" i="15"/>
  <c r="AI198" i="15"/>
  <c r="AJ198" i="15" s="1"/>
  <c r="AF198" i="15"/>
  <c r="AG198" i="15" s="1"/>
  <c r="AD198" i="15"/>
  <c r="AC198" i="15"/>
  <c r="Z198" i="15" s="1"/>
  <c r="AA198" i="15" s="1"/>
  <c r="AS197" i="15"/>
  <c r="AQ197" i="15"/>
  <c r="AO197" i="15"/>
  <c r="AP197" i="15" s="1"/>
  <c r="AM197" i="15"/>
  <c r="AI197" i="15"/>
  <c r="AJ197" i="15" s="1"/>
  <c r="AF197" i="15"/>
  <c r="AG197" i="15" s="1"/>
  <c r="AD197" i="15"/>
  <c r="AC197" i="15"/>
  <c r="Y197" i="15"/>
  <c r="AS196" i="15"/>
  <c r="AQ196" i="15"/>
  <c r="AO196" i="15"/>
  <c r="AP196" i="15" s="1"/>
  <c r="AM196" i="15"/>
  <c r="AI196" i="15"/>
  <c r="AJ196" i="15" s="1"/>
  <c r="AF196" i="15"/>
  <c r="AG196" i="15" s="1"/>
  <c r="AD196" i="15"/>
  <c r="AC196" i="15"/>
  <c r="AS195" i="15"/>
  <c r="AQ195" i="15"/>
  <c r="AO195" i="15"/>
  <c r="AP195" i="15" s="1"/>
  <c r="AM195" i="15"/>
  <c r="AI195" i="15"/>
  <c r="AJ195" i="15" s="1"/>
  <c r="AF195" i="15"/>
  <c r="AG195" i="15" s="1"/>
  <c r="AD195" i="15"/>
  <c r="Z195" i="15" s="1"/>
  <c r="AA195" i="15" s="1"/>
  <c r="AC195" i="15"/>
  <c r="AS194" i="15"/>
  <c r="AQ194" i="15"/>
  <c r="AO194" i="15"/>
  <c r="AP194" i="15" s="1"/>
  <c r="AM194" i="15"/>
  <c r="AI194" i="15"/>
  <c r="AJ194" i="15" s="1"/>
  <c r="AF194" i="15"/>
  <c r="AG194" i="15" s="1"/>
  <c r="AD194" i="15"/>
  <c r="AC194" i="15"/>
  <c r="AS193" i="15"/>
  <c r="AQ193" i="15"/>
  <c r="AO193" i="15"/>
  <c r="AP193" i="15" s="1"/>
  <c r="AM193" i="15"/>
  <c r="AI193" i="15"/>
  <c r="AJ193" i="15" s="1"/>
  <c r="AF193" i="15"/>
  <c r="AG193" i="15" s="1"/>
  <c r="AD193" i="15"/>
  <c r="AC193" i="15"/>
  <c r="AS192" i="15"/>
  <c r="AQ192" i="15"/>
  <c r="AO192" i="15"/>
  <c r="AP192" i="15" s="1"/>
  <c r="AM192" i="15"/>
  <c r="AI192" i="15"/>
  <c r="AJ192" i="15" s="1"/>
  <c r="AF192" i="15"/>
  <c r="AG192" i="15" s="1"/>
  <c r="AD192" i="15"/>
  <c r="AC192" i="15"/>
  <c r="X192" i="15"/>
  <c r="AS191" i="15"/>
  <c r="AQ191" i="15"/>
  <c r="AO191" i="15"/>
  <c r="AP191" i="15" s="1"/>
  <c r="AM191" i="15"/>
  <c r="AI191" i="15"/>
  <c r="AJ191" i="15" s="1"/>
  <c r="AF191" i="15"/>
  <c r="AG191" i="15" s="1"/>
  <c r="AD191" i="15"/>
  <c r="AC191" i="15"/>
  <c r="AS190" i="15"/>
  <c r="AQ190" i="15"/>
  <c r="AP190" i="15"/>
  <c r="AO190" i="15"/>
  <c r="AM190" i="15"/>
  <c r="AI190" i="15"/>
  <c r="AJ190" i="15" s="1"/>
  <c r="AF190" i="15"/>
  <c r="AG190" i="15" s="1"/>
  <c r="AD190" i="15"/>
  <c r="AC190" i="15"/>
  <c r="Y190" i="15"/>
  <c r="Z190" i="15" s="1"/>
  <c r="AA190" i="15" s="1"/>
  <c r="AS189" i="15"/>
  <c r="AQ189" i="15"/>
  <c r="AO189" i="15"/>
  <c r="AP189" i="15" s="1"/>
  <c r="AM189" i="15"/>
  <c r="AI189" i="15"/>
  <c r="AJ189" i="15" s="1"/>
  <c r="AF189" i="15"/>
  <c r="AG189" i="15" s="1"/>
  <c r="AD189" i="15"/>
  <c r="AC189" i="15"/>
  <c r="Y189" i="15"/>
  <c r="Z189" i="15" s="1"/>
  <c r="AA189" i="15" s="1"/>
  <c r="AH189" i="15" s="1"/>
  <c r="AS188" i="15"/>
  <c r="AQ188" i="15"/>
  <c r="AO188" i="15"/>
  <c r="AP188" i="15" s="1"/>
  <c r="AM188" i="15"/>
  <c r="AI188" i="15"/>
  <c r="AJ188" i="15" s="1"/>
  <c r="AF188" i="15"/>
  <c r="AG188" i="15" s="1"/>
  <c r="AD188" i="15"/>
  <c r="AC188" i="15"/>
  <c r="Y188" i="15"/>
  <c r="AS187" i="15"/>
  <c r="AQ187" i="15"/>
  <c r="AO187" i="15"/>
  <c r="AP187" i="15" s="1"/>
  <c r="AM187" i="15"/>
  <c r="AI187" i="15"/>
  <c r="AJ187" i="15" s="1"/>
  <c r="AF187" i="15"/>
  <c r="AG187" i="15" s="1"/>
  <c r="AD187" i="15"/>
  <c r="AC187" i="15"/>
  <c r="Y187" i="15"/>
  <c r="AS186" i="15"/>
  <c r="AQ186" i="15"/>
  <c r="AO186" i="15"/>
  <c r="AP186" i="15" s="1"/>
  <c r="AM186" i="15"/>
  <c r="AI186" i="15"/>
  <c r="AJ186" i="15" s="1"/>
  <c r="AF186" i="15"/>
  <c r="AG186" i="15" s="1"/>
  <c r="AD186" i="15"/>
  <c r="AC186" i="15"/>
  <c r="Y186" i="15"/>
  <c r="Z186" i="15" s="1"/>
  <c r="AA186" i="15" s="1"/>
  <c r="AS184" i="15"/>
  <c r="AQ184" i="15"/>
  <c r="AO184" i="15"/>
  <c r="AP184" i="15" s="1"/>
  <c r="AM184" i="15"/>
  <c r="AI184" i="15"/>
  <c r="AJ184" i="15" s="1"/>
  <c r="AF184" i="15"/>
  <c r="AG184" i="15" s="1"/>
  <c r="AD184" i="15"/>
  <c r="AC184" i="15"/>
  <c r="Z184" i="15" s="1"/>
  <c r="AA184" i="15" s="1"/>
  <c r="AS183" i="15"/>
  <c r="AQ183" i="15"/>
  <c r="AO183" i="15"/>
  <c r="AP183" i="15" s="1"/>
  <c r="AM183" i="15"/>
  <c r="AI183" i="15"/>
  <c r="AJ183" i="15" s="1"/>
  <c r="AF183" i="15"/>
  <c r="AG183" i="15" s="1"/>
  <c r="AD183" i="15"/>
  <c r="AC183" i="15"/>
  <c r="Z183" i="15" s="1"/>
  <c r="AA183" i="15" s="1"/>
  <c r="AS182" i="15"/>
  <c r="AQ182" i="15"/>
  <c r="AO182" i="15"/>
  <c r="AP182" i="15" s="1"/>
  <c r="AM182" i="15"/>
  <c r="AI182" i="15"/>
  <c r="AJ182" i="15" s="1"/>
  <c r="AF182" i="15"/>
  <c r="AG182" i="15" s="1"/>
  <c r="AD182" i="15"/>
  <c r="AC182" i="15"/>
  <c r="Y182" i="15"/>
  <c r="AS181" i="15"/>
  <c r="AQ181" i="15"/>
  <c r="AO181" i="15"/>
  <c r="AP181" i="15" s="1"/>
  <c r="AM181" i="15"/>
  <c r="AI181" i="15"/>
  <c r="AJ181" i="15" s="1"/>
  <c r="AF181" i="15"/>
  <c r="AG181" i="15" s="1"/>
  <c r="AD181" i="15"/>
  <c r="AC181" i="15"/>
  <c r="AS180" i="15"/>
  <c r="AQ180" i="15"/>
  <c r="AO180" i="15"/>
  <c r="AP180" i="15" s="1"/>
  <c r="AM180" i="15"/>
  <c r="AI180" i="15"/>
  <c r="AJ180" i="15" s="1"/>
  <c r="AF180" i="15"/>
  <c r="AG180" i="15" s="1"/>
  <c r="AD180" i="15"/>
  <c r="Z180" i="15" s="1"/>
  <c r="AA180" i="15" s="1"/>
  <c r="AC180" i="15"/>
  <c r="AS179" i="15"/>
  <c r="AQ179" i="15"/>
  <c r="AO179" i="15"/>
  <c r="AP179" i="15" s="1"/>
  <c r="AM179" i="15"/>
  <c r="AI179" i="15"/>
  <c r="AJ179" i="15" s="1"/>
  <c r="AF179" i="15"/>
  <c r="AG179" i="15" s="1"/>
  <c r="AD179" i="15"/>
  <c r="AC179" i="15"/>
  <c r="AS178" i="15"/>
  <c r="AQ178" i="15"/>
  <c r="AO178" i="15"/>
  <c r="AP178" i="15" s="1"/>
  <c r="AM178" i="15"/>
  <c r="AI178" i="15"/>
  <c r="AJ178" i="15" s="1"/>
  <c r="AF178" i="15"/>
  <c r="AG178" i="15" s="1"/>
  <c r="AD178" i="15"/>
  <c r="AC178" i="15"/>
  <c r="AS177" i="15"/>
  <c r="AQ177" i="15"/>
  <c r="AO177" i="15"/>
  <c r="AP177" i="15" s="1"/>
  <c r="AM177" i="15"/>
  <c r="AI177" i="15"/>
  <c r="AJ177" i="15" s="1"/>
  <c r="AF177" i="15"/>
  <c r="AG177" i="15" s="1"/>
  <c r="AD177" i="15"/>
  <c r="AC177" i="15"/>
  <c r="X177" i="15"/>
  <c r="AS176" i="15"/>
  <c r="AQ176" i="15"/>
  <c r="AO176" i="15"/>
  <c r="AP176" i="15" s="1"/>
  <c r="AM176" i="15"/>
  <c r="AI176" i="15"/>
  <c r="AJ176" i="15" s="1"/>
  <c r="AF176" i="15"/>
  <c r="AG176" i="15" s="1"/>
  <c r="AD176" i="15"/>
  <c r="AC176" i="15"/>
  <c r="AS175" i="15"/>
  <c r="AQ175" i="15"/>
  <c r="AO175" i="15"/>
  <c r="AP175" i="15" s="1"/>
  <c r="AM175" i="15"/>
  <c r="AI175" i="15"/>
  <c r="AJ175" i="15" s="1"/>
  <c r="AF175" i="15"/>
  <c r="AG175" i="15" s="1"/>
  <c r="AD175" i="15"/>
  <c r="AC175" i="15"/>
  <c r="Y175" i="15"/>
  <c r="AS174" i="15"/>
  <c r="AQ174" i="15"/>
  <c r="AO174" i="15"/>
  <c r="AP174" i="15" s="1"/>
  <c r="AM174" i="15"/>
  <c r="AJ174" i="15"/>
  <c r="AI174" i="15"/>
  <c r="AF174" i="15"/>
  <c r="AG174" i="15" s="1"/>
  <c r="AD174" i="15"/>
  <c r="AC174" i="15"/>
  <c r="Y174" i="15"/>
  <c r="AS173" i="15"/>
  <c r="AQ173" i="15"/>
  <c r="AO173" i="15"/>
  <c r="AP173" i="15" s="1"/>
  <c r="AM173" i="15"/>
  <c r="AI173" i="15"/>
  <c r="AJ173" i="15" s="1"/>
  <c r="AF173" i="15"/>
  <c r="AG173" i="15" s="1"/>
  <c r="AD173" i="15"/>
  <c r="AC173" i="15"/>
  <c r="Y173" i="15"/>
  <c r="AS172" i="15"/>
  <c r="AQ172" i="15"/>
  <c r="AO172" i="15"/>
  <c r="AP172" i="15" s="1"/>
  <c r="AM172" i="15"/>
  <c r="AI172" i="15"/>
  <c r="AJ172" i="15" s="1"/>
  <c r="AF172" i="15"/>
  <c r="AG172" i="15" s="1"/>
  <c r="AD172" i="15"/>
  <c r="AC172" i="15"/>
  <c r="Y172" i="15"/>
  <c r="AS171" i="15"/>
  <c r="AQ171" i="15"/>
  <c r="AO171" i="15"/>
  <c r="AP171" i="15" s="1"/>
  <c r="AM171" i="15"/>
  <c r="AJ171" i="15"/>
  <c r="AI171" i="15"/>
  <c r="AF171" i="15"/>
  <c r="AG171" i="15" s="1"/>
  <c r="AD171" i="15"/>
  <c r="AC171" i="15"/>
  <c r="Y171" i="15"/>
  <c r="AS169" i="15"/>
  <c r="AQ169" i="15"/>
  <c r="AO169" i="15"/>
  <c r="AP169" i="15" s="1"/>
  <c r="AM169" i="15"/>
  <c r="AI169" i="15"/>
  <c r="AJ169" i="15" s="1"/>
  <c r="AF169" i="15"/>
  <c r="AG169" i="15" s="1"/>
  <c r="AD169" i="15"/>
  <c r="AC169" i="15"/>
  <c r="Z169" i="15" s="1"/>
  <c r="AA169" i="15" s="1"/>
  <c r="AS168" i="15"/>
  <c r="AQ168" i="15"/>
  <c r="AO168" i="15"/>
  <c r="AP168" i="15" s="1"/>
  <c r="AM168" i="15"/>
  <c r="AJ168" i="15"/>
  <c r="AI168" i="15"/>
  <c r="AF168" i="15"/>
  <c r="AG168" i="15" s="1"/>
  <c r="AD168" i="15"/>
  <c r="AC168" i="15"/>
  <c r="Z168" i="15" s="1"/>
  <c r="AA168" i="15" s="1"/>
  <c r="AS167" i="15"/>
  <c r="AQ167" i="15"/>
  <c r="AO167" i="15"/>
  <c r="AP167" i="15" s="1"/>
  <c r="AM167" i="15"/>
  <c r="AI167" i="15"/>
  <c r="AJ167" i="15" s="1"/>
  <c r="AF167" i="15"/>
  <c r="AG167" i="15" s="1"/>
  <c r="AD167" i="15"/>
  <c r="AC167" i="15"/>
  <c r="Y167" i="15"/>
  <c r="AS166" i="15"/>
  <c r="AQ166" i="15"/>
  <c r="AO166" i="15"/>
  <c r="AP166" i="15" s="1"/>
  <c r="AM166" i="15"/>
  <c r="AI166" i="15"/>
  <c r="AJ166" i="15" s="1"/>
  <c r="AF166" i="15"/>
  <c r="AG166" i="15" s="1"/>
  <c r="AD166" i="15"/>
  <c r="AC166" i="15"/>
  <c r="Z166" i="15" s="1"/>
  <c r="AA166" i="15" s="1"/>
  <c r="AS165" i="15"/>
  <c r="AQ165" i="15"/>
  <c r="AO165" i="15"/>
  <c r="AP165" i="15" s="1"/>
  <c r="AM165" i="15"/>
  <c r="AI165" i="15"/>
  <c r="AJ165" i="15" s="1"/>
  <c r="AF165" i="15"/>
  <c r="AG165" i="15" s="1"/>
  <c r="AD165" i="15"/>
  <c r="AC165" i="15"/>
  <c r="AS164" i="15"/>
  <c r="AQ164" i="15"/>
  <c r="AO164" i="15"/>
  <c r="AP164" i="15" s="1"/>
  <c r="AM164" i="15"/>
  <c r="AI164" i="15"/>
  <c r="AJ164" i="15" s="1"/>
  <c r="AF164" i="15"/>
  <c r="AG164" i="15" s="1"/>
  <c r="AD164" i="15"/>
  <c r="AC164" i="15"/>
  <c r="Z164" i="15" s="1"/>
  <c r="AA164" i="15" s="1"/>
  <c r="AH164" i="15" s="1"/>
  <c r="AK164" i="15" s="1"/>
  <c r="AV164" i="15" s="1"/>
  <c r="AW164" i="15" s="1"/>
  <c r="AX164" i="15" s="1"/>
  <c r="AY164" i="15" s="1"/>
  <c r="AS163" i="15"/>
  <c r="AQ163" i="15"/>
  <c r="AO163" i="15"/>
  <c r="AP163" i="15" s="1"/>
  <c r="AM163" i="15"/>
  <c r="AI163" i="15"/>
  <c r="AJ163" i="15" s="1"/>
  <c r="AF163" i="15"/>
  <c r="AG163" i="15" s="1"/>
  <c r="AD163" i="15"/>
  <c r="AC163" i="15"/>
  <c r="AS162" i="15"/>
  <c r="AQ162" i="15"/>
  <c r="AP162" i="15"/>
  <c r="AO162" i="15"/>
  <c r="AM162" i="15"/>
  <c r="AI162" i="15"/>
  <c r="AJ162" i="15" s="1"/>
  <c r="AF162" i="15"/>
  <c r="AG162" i="15" s="1"/>
  <c r="AD162" i="15"/>
  <c r="AC162" i="15"/>
  <c r="Z162" i="15" s="1"/>
  <c r="AA162" i="15" s="1"/>
  <c r="X162" i="15"/>
  <c r="AS161" i="15"/>
  <c r="AQ161" i="15"/>
  <c r="AO161" i="15"/>
  <c r="AP161" i="15" s="1"/>
  <c r="AM161" i="15"/>
  <c r="AI161" i="15"/>
  <c r="AJ161" i="15" s="1"/>
  <c r="AF161" i="15"/>
  <c r="AG161" i="15" s="1"/>
  <c r="AD161" i="15"/>
  <c r="AC161" i="15"/>
  <c r="Z161" i="15" s="1"/>
  <c r="AA161" i="15" s="1"/>
  <c r="AS160" i="15"/>
  <c r="AQ160" i="15"/>
  <c r="AO160" i="15"/>
  <c r="AP160" i="15" s="1"/>
  <c r="AM160" i="15"/>
  <c r="AI160" i="15"/>
  <c r="AJ160" i="15" s="1"/>
  <c r="AF160" i="15"/>
  <c r="AG160" i="15" s="1"/>
  <c r="AD160" i="15"/>
  <c r="AC160" i="15"/>
  <c r="Y160" i="15"/>
  <c r="AS159" i="15"/>
  <c r="AQ159" i="15"/>
  <c r="AO159" i="15"/>
  <c r="AP159" i="15" s="1"/>
  <c r="AM159" i="15"/>
  <c r="AJ159" i="15"/>
  <c r="AI159" i="15"/>
  <c r="AF159" i="15"/>
  <c r="AG159" i="15" s="1"/>
  <c r="AD159" i="15"/>
  <c r="AC159" i="15"/>
  <c r="Y159" i="15"/>
  <c r="Z159" i="15" s="1"/>
  <c r="AA159" i="15" s="1"/>
  <c r="AS158" i="15"/>
  <c r="AQ158" i="15"/>
  <c r="AO158" i="15"/>
  <c r="AP158" i="15" s="1"/>
  <c r="AM158" i="15"/>
  <c r="AI158" i="15"/>
  <c r="AJ158" i="15" s="1"/>
  <c r="AF158" i="15"/>
  <c r="AG158" i="15" s="1"/>
  <c r="AD158" i="15"/>
  <c r="AC158" i="15"/>
  <c r="Y158" i="15"/>
  <c r="AS157" i="15"/>
  <c r="AQ157" i="15"/>
  <c r="AO157" i="15"/>
  <c r="AP157" i="15" s="1"/>
  <c r="AM157" i="15"/>
  <c r="AI157" i="15"/>
  <c r="AJ157" i="15" s="1"/>
  <c r="AF157" i="15"/>
  <c r="AG157" i="15" s="1"/>
  <c r="AD157" i="15"/>
  <c r="AC157" i="15"/>
  <c r="Y157" i="15"/>
  <c r="AS156" i="15"/>
  <c r="AQ156" i="15"/>
  <c r="AO156" i="15"/>
  <c r="AP156" i="15" s="1"/>
  <c r="AM156" i="15"/>
  <c r="AI156" i="15"/>
  <c r="AJ156" i="15" s="1"/>
  <c r="AG156" i="15"/>
  <c r="AF156" i="15"/>
  <c r="AD156" i="15"/>
  <c r="AC156" i="15"/>
  <c r="Y156" i="15"/>
  <c r="AS154" i="15"/>
  <c r="AQ154" i="15"/>
  <c r="AO154" i="15"/>
  <c r="AP154" i="15" s="1"/>
  <c r="AM154" i="15"/>
  <c r="AI154" i="15"/>
  <c r="AJ154" i="15" s="1"/>
  <c r="AF154" i="15"/>
  <c r="AG154" i="15" s="1"/>
  <c r="AD154" i="15"/>
  <c r="Z154" i="15" s="1"/>
  <c r="AA154" i="15" s="1"/>
  <c r="AC154" i="15"/>
  <c r="AS153" i="15"/>
  <c r="AQ153" i="15"/>
  <c r="AO153" i="15"/>
  <c r="AP153" i="15" s="1"/>
  <c r="AM153" i="15"/>
  <c r="AJ153" i="15"/>
  <c r="AI153" i="15"/>
  <c r="AF153" i="15"/>
  <c r="AG153" i="15" s="1"/>
  <c r="AD153" i="15"/>
  <c r="AC153" i="15"/>
  <c r="Z153" i="15"/>
  <c r="AA153" i="15" s="1"/>
  <c r="AS152" i="15"/>
  <c r="AQ152" i="15"/>
  <c r="AO152" i="15"/>
  <c r="AP152" i="15" s="1"/>
  <c r="AM152" i="15"/>
  <c r="AI152" i="15"/>
  <c r="AJ152" i="15" s="1"/>
  <c r="AF152" i="15"/>
  <c r="AG152" i="15" s="1"/>
  <c r="AD152" i="15"/>
  <c r="AC152" i="15"/>
  <c r="Y152" i="15"/>
  <c r="AS151" i="15"/>
  <c r="AQ151" i="15"/>
  <c r="AO151" i="15"/>
  <c r="AP151" i="15" s="1"/>
  <c r="AM151" i="15"/>
  <c r="AI151" i="15"/>
  <c r="AJ151" i="15" s="1"/>
  <c r="AF151" i="15"/>
  <c r="AG151" i="15" s="1"/>
  <c r="AD151" i="15"/>
  <c r="AC151" i="15"/>
  <c r="AS150" i="15"/>
  <c r="AQ150" i="15"/>
  <c r="AO150" i="15"/>
  <c r="AP150" i="15" s="1"/>
  <c r="AM150" i="15"/>
  <c r="AI150" i="15"/>
  <c r="AJ150" i="15" s="1"/>
  <c r="AF150" i="15"/>
  <c r="AG150" i="15" s="1"/>
  <c r="AD150" i="15"/>
  <c r="Z150" i="15" s="1"/>
  <c r="AA150" i="15" s="1"/>
  <c r="AH150" i="15" s="1"/>
  <c r="AK150" i="15" s="1"/>
  <c r="AV150" i="15" s="1"/>
  <c r="AC150" i="15"/>
  <c r="AS149" i="15"/>
  <c r="AQ149" i="15"/>
  <c r="AO149" i="15"/>
  <c r="AP149" i="15" s="1"/>
  <c r="AM149" i="15"/>
  <c r="AI149" i="15"/>
  <c r="AJ149" i="15" s="1"/>
  <c r="AF149" i="15"/>
  <c r="AG149" i="15" s="1"/>
  <c r="AD149" i="15"/>
  <c r="AC149" i="15"/>
  <c r="AS148" i="15"/>
  <c r="AQ148" i="15"/>
  <c r="AO148" i="15"/>
  <c r="AP148" i="15" s="1"/>
  <c r="AM148" i="15"/>
  <c r="AI148" i="15"/>
  <c r="AJ148" i="15" s="1"/>
  <c r="AF148" i="15"/>
  <c r="AG148" i="15" s="1"/>
  <c r="AD148" i="15"/>
  <c r="AC148" i="15"/>
  <c r="AS147" i="15"/>
  <c r="AQ147" i="15"/>
  <c r="AO147" i="15"/>
  <c r="AP147" i="15" s="1"/>
  <c r="AM147" i="15"/>
  <c r="AI147" i="15"/>
  <c r="AJ147" i="15" s="1"/>
  <c r="AF147" i="15"/>
  <c r="AG147" i="15" s="1"/>
  <c r="AD147" i="15"/>
  <c r="AC147" i="15"/>
  <c r="X147" i="15"/>
  <c r="AS146" i="15"/>
  <c r="AQ146" i="15"/>
  <c r="AO146" i="15"/>
  <c r="AP146" i="15" s="1"/>
  <c r="AM146" i="15"/>
  <c r="AI146" i="15"/>
  <c r="AJ146" i="15" s="1"/>
  <c r="AF146" i="15"/>
  <c r="AG146" i="15" s="1"/>
  <c r="AD146" i="15"/>
  <c r="AC146" i="15"/>
  <c r="Z146" i="15" s="1"/>
  <c r="AA146" i="15" s="1"/>
  <c r="AS145" i="15"/>
  <c r="AQ145" i="15"/>
  <c r="AO145" i="15"/>
  <c r="AP145" i="15" s="1"/>
  <c r="AM145" i="15"/>
  <c r="AI145" i="15"/>
  <c r="AJ145" i="15" s="1"/>
  <c r="AF145" i="15"/>
  <c r="AG145" i="15" s="1"/>
  <c r="AD145" i="15"/>
  <c r="AC145" i="15"/>
  <c r="Y145" i="15"/>
  <c r="AS144" i="15"/>
  <c r="AQ144" i="15"/>
  <c r="AO144" i="15"/>
  <c r="AP144" i="15" s="1"/>
  <c r="AM144" i="15"/>
  <c r="AI144" i="15"/>
  <c r="AJ144" i="15" s="1"/>
  <c r="AF144" i="15"/>
  <c r="AG144" i="15" s="1"/>
  <c r="AD144" i="15"/>
  <c r="AC144" i="15"/>
  <c r="Y144" i="15"/>
  <c r="Z144" i="15" s="1"/>
  <c r="AA144" i="15" s="1"/>
  <c r="AS143" i="15"/>
  <c r="AQ143" i="15"/>
  <c r="AO143" i="15"/>
  <c r="AP143" i="15" s="1"/>
  <c r="AM143" i="15"/>
  <c r="AI143" i="15"/>
  <c r="AJ143" i="15" s="1"/>
  <c r="AF143" i="15"/>
  <c r="AG143" i="15" s="1"/>
  <c r="AD143" i="15"/>
  <c r="AC143" i="15"/>
  <c r="Z143" i="15"/>
  <c r="AA143" i="15" s="1"/>
  <c r="Y143" i="15"/>
  <c r="AS142" i="15"/>
  <c r="AQ142" i="15"/>
  <c r="AO142" i="15"/>
  <c r="AP142" i="15" s="1"/>
  <c r="AM142" i="15"/>
  <c r="AI142" i="15"/>
  <c r="AJ142" i="15" s="1"/>
  <c r="AF142" i="15"/>
  <c r="AG142" i="15" s="1"/>
  <c r="AD142" i="15"/>
  <c r="AC142" i="15"/>
  <c r="Y142" i="15"/>
  <c r="AS141" i="15"/>
  <c r="AQ141" i="15"/>
  <c r="AO141" i="15"/>
  <c r="AP141" i="15" s="1"/>
  <c r="AM141" i="15"/>
  <c r="AI141" i="15"/>
  <c r="AJ141" i="15" s="1"/>
  <c r="AF141" i="15"/>
  <c r="AG141" i="15" s="1"/>
  <c r="AD141" i="15"/>
  <c r="AC141" i="15"/>
  <c r="Y141" i="15"/>
  <c r="AS139" i="15"/>
  <c r="AQ139" i="15"/>
  <c r="AO139" i="15"/>
  <c r="AP139" i="15" s="1"/>
  <c r="AM139" i="15"/>
  <c r="AI139" i="15"/>
  <c r="AJ139" i="15" s="1"/>
  <c r="AF139" i="15"/>
  <c r="AG139" i="15" s="1"/>
  <c r="AD139" i="15"/>
  <c r="AC139" i="15"/>
  <c r="AS138" i="15"/>
  <c r="AQ138" i="15"/>
  <c r="AO138" i="15"/>
  <c r="AP138" i="15" s="1"/>
  <c r="AM138" i="15"/>
  <c r="AJ138" i="15"/>
  <c r="AI138" i="15"/>
  <c r="AF138" i="15"/>
  <c r="AG138" i="15" s="1"/>
  <c r="AD138" i="15"/>
  <c r="AC138" i="15"/>
  <c r="AS137" i="15"/>
  <c r="AQ137" i="15"/>
  <c r="AO137" i="15"/>
  <c r="AP137" i="15" s="1"/>
  <c r="AM137" i="15"/>
  <c r="AI137" i="15"/>
  <c r="AJ137" i="15" s="1"/>
  <c r="AF137" i="15"/>
  <c r="AG137" i="15" s="1"/>
  <c r="AD137" i="15"/>
  <c r="AC137" i="15"/>
  <c r="Y137" i="15"/>
  <c r="AS136" i="15"/>
  <c r="AQ136" i="15"/>
  <c r="AO136" i="15"/>
  <c r="AP136" i="15" s="1"/>
  <c r="AM136" i="15"/>
  <c r="AI136" i="15"/>
  <c r="AJ136" i="15" s="1"/>
  <c r="AF136" i="15"/>
  <c r="AG136" i="15" s="1"/>
  <c r="AD136" i="15"/>
  <c r="AC136" i="15"/>
  <c r="AS135" i="15"/>
  <c r="AQ135" i="15"/>
  <c r="AO135" i="15"/>
  <c r="AP135" i="15" s="1"/>
  <c r="AM135" i="15"/>
  <c r="AI135" i="15"/>
  <c r="AJ135" i="15" s="1"/>
  <c r="AF135" i="15"/>
  <c r="AG135" i="15" s="1"/>
  <c r="AD135" i="15"/>
  <c r="AC135" i="15"/>
  <c r="AS134" i="15"/>
  <c r="AQ134" i="15"/>
  <c r="AP134" i="15"/>
  <c r="AO134" i="15"/>
  <c r="AM134" i="15"/>
  <c r="AI134" i="15"/>
  <c r="AJ134" i="15" s="1"/>
  <c r="AF134" i="15"/>
  <c r="AG134" i="15" s="1"/>
  <c r="AD134" i="15"/>
  <c r="AC134" i="15"/>
  <c r="AS133" i="15"/>
  <c r="AQ133" i="15"/>
  <c r="AO133" i="15"/>
  <c r="AP133" i="15" s="1"/>
  <c r="AM133" i="15"/>
  <c r="AI133" i="15"/>
  <c r="AJ133" i="15" s="1"/>
  <c r="AF133" i="15"/>
  <c r="AG133" i="15" s="1"/>
  <c r="AD133" i="15"/>
  <c r="AC133" i="15"/>
  <c r="AS132" i="15"/>
  <c r="AQ132" i="15"/>
  <c r="AO132" i="15"/>
  <c r="AP132" i="15" s="1"/>
  <c r="AM132" i="15"/>
  <c r="AI132" i="15"/>
  <c r="AJ132" i="15" s="1"/>
  <c r="AF132" i="15"/>
  <c r="AG132" i="15" s="1"/>
  <c r="AD132" i="15"/>
  <c r="AC132" i="15"/>
  <c r="Z132" i="15" s="1"/>
  <c r="AA132" i="15" s="1"/>
  <c r="X132" i="15"/>
  <c r="AS131" i="15"/>
  <c r="AQ131" i="15"/>
  <c r="AO131" i="15"/>
  <c r="AP131" i="15" s="1"/>
  <c r="AM131" i="15"/>
  <c r="AI131" i="15"/>
  <c r="AJ131" i="15" s="1"/>
  <c r="AF131" i="15"/>
  <c r="AG131" i="15" s="1"/>
  <c r="AD131" i="15"/>
  <c r="AC131" i="15"/>
  <c r="Z131" i="15" s="1"/>
  <c r="AA131" i="15" s="1"/>
  <c r="AS130" i="15"/>
  <c r="AQ130" i="15"/>
  <c r="AO130" i="15"/>
  <c r="AP130" i="15" s="1"/>
  <c r="AM130" i="15"/>
  <c r="AI130" i="15"/>
  <c r="AJ130" i="15" s="1"/>
  <c r="AF130" i="15"/>
  <c r="AG130" i="15" s="1"/>
  <c r="AD130" i="15"/>
  <c r="AC130" i="15"/>
  <c r="Y130" i="15"/>
  <c r="AS129" i="15"/>
  <c r="AQ129" i="15"/>
  <c r="AO129" i="15"/>
  <c r="AP129" i="15" s="1"/>
  <c r="AM129" i="15"/>
  <c r="AI129" i="15"/>
  <c r="AJ129" i="15" s="1"/>
  <c r="AF129" i="15"/>
  <c r="AG129" i="15" s="1"/>
  <c r="AD129" i="15"/>
  <c r="AC129" i="15"/>
  <c r="Y129" i="15"/>
  <c r="AS128" i="15"/>
  <c r="AQ128" i="15"/>
  <c r="AO128" i="15"/>
  <c r="AP128" i="15" s="1"/>
  <c r="AM128" i="15"/>
  <c r="AI128" i="15"/>
  <c r="AJ128" i="15" s="1"/>
  <c r="AF128" i="15"/>
  <c r="AG128" i="15" s="1"/>
  <c r="AD128" i="15"/>
  <c r="AC128" i="15"/>
  <c r="Y128" i="15"/>
  <c r="AS127" i="15"/>
  <c r="AQ127" i="15"/>
  <c r="AO127" i="15"/>
  <c r="AP127" i="15" s="1"/>
  <c r="AM127" i="15"/>
  <c r="AI127" i="15"/>
  <c r="AJ127" i="15" s="1"/>
  <c r="AF127" i="15"/>
  <c r="AG127" i="15" s="1"/>
  <c r="AD127" i="15"/>
  <c r="AC127" i="15"/>
  <c r="Y127" i="15"/>
  <c r="Z127" i="15" s="1"/>
  <c r="AA127" i="15" s="1"/>
  <c r="AS126" i="15"/>
  <c r="AQ126" i="15"/>
  <c r="AO126" i="15"/>
  <c r="AP126" i="15" s="1"/>
  <c r="AM126" i="15"/>
  <c r="AI126" i="15"/>
  <c r="AJ126" i="15" s="1"/>
  <c r="AF126" i="15"/>
  <c r="AG126" i="15" s="1"/>
  <c r="AD126" i="15"/>
  <c r="AC126" i="15"/>
  <c r="Y126" i="15"/>
  <c r="AS124" i="15"/>
  <c r="AQ124" i="15"/>
  <c r="AO124" i="15"/>
  <c r="AP124" i="15" s="1"/>
  <c r="AM124" i="15"/>
  <c r="AI124" i="15"/>
  <c r="AJ124" i="15" s="1"/>
  <c r="AF124" i="15"/>
  <c r="AG124" i="15" s="1"/>
  <c r="AD124" i="15"/>
  <c r="AC124" i="15"/>
  <c r="AS123" i="15"/>
  <c r="AQ123" i="15"/>
  <c r="AO123" i="15"/>
  <c r="AP123" i="15" s="1"/>
  <c r="AM123" i="15"/>
  <c r="AI123" i="15"/>
  <c r="AJ123" i="15" s="1"/>
  <c r="AF123" i="15"/>
  <c r="AG123" i="15" s="1"/>
  <c r="AD123" i="15"/>
  <c r="Z123" i="15" s="1"/>
  <c r="AA123" i="15" s="1"/>
  <c r="AC123" i="15"/>
  <c r="AS122" i="15"/>
  <c r="AQ122" i="15"/>
  <c r="AO122" i="15"/>
  <c r="AP122" i="15" s="1"/>
  <c r="AM122" i="15"/>
  <c r="AI122" i="15"/>
  <c r="AJ122" i="15" s="1"/>
  <c r="AF122" i="15"/>
  <c r="AG122" i="15" s="1"/>
  <c r="AD122" i="15"/>
  <c r="AC122" i="15"/>
  <c r="Y122" i="15"/>
  <c r="Z122" i="15" s="1"/>
  <c r="AA122" i="15" s="1"/>
  <c r="AS121" i="15"/>
  <c r="AQ121" i="15"/>
  <c r="AO121" i="15"/>
  <c r="AP121" i="15" s="1"/>
  <c r="AM121" i="15"/>
  <c r="AI121" i="15"/>
  <c r="AJ121" i="15" s="1"/>
  <c r="AF121" i="15"/>
  <c r="AG121" i="15" s="1"/>
  <c r="AD121" i="15"/>
  <c r="AC121" i="15"/>
  <c r="Z121" i="15" s="1"/>
  <c r="AA121" i="15" s="1"/>
  <c r="AS120" i="15"/>
  <c r="AQ120" i="15"/>
  <c r="AO120" i="15"/>
  <c r="AP120" i="15" s="1"/>
  <c r="AM120" i="15"/>
  <c r="AI120" i="15"/>
  <c r="AJ120" i="15" s="1"/>
  <c r="AF120" i="15"/>
  <c r="AG120" i="15" s="1"/>
  <c r="AD120" i="15"/>
  <c r="AC120" i="15"/>
  <c r="AS119" i="15"/>
  <c r="AQ119" i="15"/>
  <c r="AO119" i="15"/>
  <c r="AP119" i="15" s="1"/>
  <c r="AM119" i="15"/>
  <c r="AI119" i="15"/>
  <c r="AJ119" i="15" s="1"/>
  <c r="AF119" i="15"/>
  <c r="AG119" i="15" s="1"/>
  <c r="AD119" i="15"/>
  <c r="AC119" i="15"/>
  <c r="AS118" i="15"/>
  <c r="AQ118" i="15"/>
  <c r="AO118" i="15"/>
  <c r="AP118" i="15" s="1"/>
  <c r="AM118" i="15"/>
  <c r="AI118" i="15"/>
  <c r="AJ118" i="15" s="1"/>
  <c r="AF118" i="15"/>
  <c r="AG118" i="15" s="1"/>
  <c r="AD118" i="15"/>
  <c r="AC118" i="15"/>
  <c r="Z118" i="15" s="1"/>
  <c r="AA118" i="15" s="1"/>
  <c r="AS117" i="15"/>
  <c r="AQ117" i="15"/>
  <c r="AO117" i="15"/>
  <c r="AP117" i="15" s="1"/>
  <c r="AM117" i="15"/>
  <c r="AI117" i="15"/>
  <c r="AJ117" i="15" s="1"/>
  <c r="AF117" i="15"/>
  <c r="AG117" i="15" s="1"/>
  <c r="AD117" i="15"/>
  <c r="AC117" i="15"/>
  <c r="Z117" i="15" s="1"/>
  <c r="AA117" i="15" s="1"/>
  <c r="X117" i="15"/>
  <c r="AS116" i="15"/>
  <c r="AQ116" i="15"/>
  <c r="AO116" i="15"/>
  <c r="AP116" i="15" s="1"/>
  <c r="AM116" i="15"/>
  <c r="AI116" i="15"/>
  <c r="AJ116" i="15" s="1"/>
  <c r="AF116" i="15"/>
  <c r="AG116" i="15" s="1"/>
  <c r="AD116" i="15"/>
  <c r="AC116" i="15"/>
  <c r="AS115" i="15"/>
  <c r="AQ115" i="15"/>
  <c r="AO115" i="15"/>
  <c r="AP115" i="15" s="1"/>
  <c r="AM115" i="15"/>
  <c r="AI115" i="15"/>
  <c r="AJ115" i="15" s="1"/>
  <c r="AF115" i="15"/>
  <c r="AG115" i="15" s="1"/>
  <c r="AD115" i="15"/>
  <c r="AC115" i="15"/>
  <c r="Y115" i="15"/>
  <c r="AS114" i="15"/>
  <c r="AQ114" i="15"/>
  <c r="AO114" i="15"/>
  <c r="AP114" i="15" s="1"/>
  <c r="AM114" i="15"/>
  <c r="AI114" i="15"/>
  <c r="AJ114" i="15" s="1"/>
  <c r="AF114" i="15"/>
  <c r="AG114" i="15" s="1"/>
  <c r="AD114" i="15"/>
  <c r="AC114" i="15"/>
  <c r="Y114" i="15"/>
  <c r="AS113" i="15"/>
  <c r="AQ113" i="15"/>
  <c r="AO113" i="15"/>
  <c r="AP113" i="15" s="1"/>
  <c r="AM113" i="15"/>
  <c r="AI113" i="15"/>
  <c r="AJ113" i="15" s="1"/>
  <c r="AF113" i="15"/>
  <c r="AG113" i="15" s="1"/>
  <c r="AD113" i="15"/>
  <c r="AC113" i="15"/>
  <c r="Y113" i="15"/>
  <c r="Z113" i="15" s="1"/>
  <c r="AA113" i="15" s="1"/>
  <c r="AS112" i="15"/>
  <c r="AQ112" i="15"/>
  <c r="AO112" i="15"/>
  <c r="AP112" i="15" s="1"/>
  <c r="AM112" i="15"/>
  <c r="AI112" i="15"/>
  <c r="AJ112" i="15" s="1"/>
  <c r="AF112" i="15"/>
  <c r="AG112" i="15" s="1"/>
  <c r="AD112" i="15"/>
  <c r="AC112" i="15"/>
  <c r="Y112" i="15"/>
  <c r="Z112" i="15" s="1"/>
  <c r="AA112" i="15" s="1"/>
  <c r="AS111" i="15"/>
  <c r="AQ111" i="15"/>
  <c r="AO111" i="15"/>
  <c r="AP111" i="15" s="1"/>
  <c r="AM111" i="15"/>
  <c r="AI111" i="15"/>
  <c r="AJ111" i="15" s="1"/>
  <c r="AF111" i="15"/>
  <c r="AG111" i="15" s="1"/>
  <c r="AD111" i="15"/>
  <c r="AC111" i="15"/>
  <c r="Y111" i="15"/>
  <c r="AS109" i="15"/>
  <c r="AQ109" i="15"/>
  <c r="AO109" i="15"/>
  <c r="AP109" i="15" s="1"/>
  <c r="AM109" i="15"/>
  <c r="AI109" i="15"/>
  <c r="AJ109" i="15" s="1"/>
  <c r="AF109" i="15"/>
  <c r="AG109" i="15" s="1"/>
  <c r="AD109" i="15"/>
  <c r="AC109" i="15"/>
  <c r="AS108" i="15"/>
  <c r="AQ108" i="15"/>
  <c r="AO108" i="15"/>
  <c r="AP108" i="15" s="1"/>
  <c r="AM108" i="15"/>
  <c r="AI108" i="15"/>
  <c r="AJ108" i="15" s="1"/>
  <c r="AF108" i="15"/>
  <c r="AG108" i="15" s="1"/>
  <c r="AD108" i="15"/>
  <c r="Z108" i="15" s="1"/>
  <c r="AA108" i="15" s="1"/>
  <c r="AC108" i="15"/>
  <c r="AS107" i="15"/>
  <c r="AQ107" i="15"/>
  <c r="AO107" i="15"/>
  <c r="AP107" i="15" s="1"/>
  <c r="AM107" i="15"/>
  <c r="AI107" i="15"/>
  <c r="AJ107" i="15" s="1"/>
  <c r="AF107" i="15"/>
  <c r="AG107" i="15" s="1"/>
  <c r="AD107" i="15"/>
  <c r="AC107" i="15"/>
  <c r="Y107" i="15"/>
  <c r="AS106" i="15"/>
  <c r="AQ106" i="15"/>
  <c r="AO106" i="15"/>
  <c r="AP106" i="15" s="1"/>
  <c r="AM106" i="15"/>
  <c r="AI106" i="15"/>
  <c r="AJ106" i="15" s="1"/>
  <c r="AF106" i="15"/>
  <c r="AG106" i="15" s="1"/>
  <c r="AD106" i="15"/>
  <c r="AC106" i="15"/>
  <c r="Z106" i="15" s="1"/>
  <c r="AA106" i="15" s="1"/>
  <c r="AS105" i="15"/>
  <c r="AQ105" i="15"/>
  <c r="AO105" i="15"/>
  <c r="AP105" i="15" s="1"/>
  <c r="AM105" i="15"/>
  <c r="AI105" i="15"/>
  <c r="AJ105" i="15" s="1"/>
  <c r="AF105" i="15"/>
  <c r="AG105" i="15" s="1"/>
  <c r="AD105" i="15"/>
  <c r="AC105" i="15"/>
  <c r="AS104" i="15"/>
  <c r="AQ104" i="15"/>
  <c r="AO104" i="15"/>
  <c r="AP104" i="15" s="1"/>
  <c r="AM104" i="15"/>
  <c r="AI104" i="15"/>
  <c r="AJ104" i="15" s="1"/>
  <c r="AF104" i="15"/>
  <c r="AG104" i="15" s="1"/>
  <c r="AD104" i="15"/>
  <c r="AC104" i="15"/>
  <c r="AS103" i="15"/>
  <c r="AQ103" i="15"/>
  <c r="AO103" i="15"/>
  <c r="AP103" i="15" s="1"/>
  <c r="AM103" i="15"/>
  <c r="AI103" i="15"/>
  <c r="AJ103" i="15" s="1"/>
  <c r="AF103" i="15"/>
  <c r="AG103" i="15" s="1"/>
  <c r="AD103" i="15"/>
  <c r="AC103" i="15"/>
  <c r="Z103" i="15" s="1"/>
  <c r="AA103" i="15" s="1"/>
  <c r="AS102" i="15"/>
  <c r="AQ102" i="15"/>
  <c r="AO102" i="15"/>
  <c r="AP102" i="15" s="1"/>
  <c r="AM102" i="15"/>
  <c r="AI102" i="15"/>
  <c r="AJ102" i="15" s="1"/>
  <c r="AF102" i="15"/>
  <c r="AG102" i="15" s="1"/>
  <c r="AD102" i="15"/>
  <c r="AC102" i="15"/>
  <c r="Z102" i="15" s="1"/>
  <c r="AA102" i="15" s="1"/>
  <c r="X102" i="15"/>
  <c r="AS101" i="15"/>
  <c r="AQ101" i="15"/>
  <c r="AO101" i="15"/>
  <c r="AP101" i="15" s="1"/>
  <c r="AM101" i="15"/>
  <c r="AI101" i="15"/>
  <c r="AJ101" i="15" s="1"/>
  <c r="AF101" i="15"/>
  <c r="AG101" i="15" s="1"/>
  <c r="AD101" i="15"/>
  <c r="AC101" i="15"/>
  <c r="Z101" i="15" s="1"/>
  <c r="AA101" i="15" s="1"/>
  <c r="AS100" i="15"/>
  <c r="AQ100" i="15"/>
  <c r="AO100" i="15"/>
  <c r="AP100" i="15" s="1"/>
  <c r="AM100" i="15"/>
  <c r="AI100" i="15"/>
  <c r="AJ100" i="15" s="1"/>
  <c r="AF100" i="15"/>
  <c r="AG100" i="15" s="1"/>
  <c r="AD100" i="15"/>
  <c r="AC100" i="15"/>
  <c r="Y100" i="15"/>
  <c r="AS99" i="15"/>
  <c r="AQ99" i="15"/>
  <c r="AO99" i="15"/>
  <c r="AP99" i="15" s="1"/>
  <c r="AM99" i="15"/>
  <c r="AI99" i="15"/>
  <c r="AJ99" i="15" s="1"/>
  <c r="AF99" i="15"/>
  <c r="AG99" i="15" s="1"/>
  <c r="AD99" i="15"/>
  <c r="AC99" i="15"/>
  <c r="Y99" i="15"/>
  <c r="Z99" i="15" s="1"/>
  <c r="AA99" i="15" s="1"/>
  <c r="AS98" i="15"/>
  <c r="AQ98" i="15"/>
  <c r="AO98" i="15"/>
  <c r="AP98" i="15" s="1"/>
  <c r="AM98" i="15"/>
  <c r="AI98" i="15"/>
  <c r="AJ98" i="15" s="1"/>
  <c r="AF98" i="15"/>
  <c r="AG98" i="15" s="1"/>
  <c r="AD98" i="15"/>
  <c r="AC98" i="15"/>
  <c r="Y98" i="15"/>
  <c r="Z98" i="15" s="1"/>
  <c r="AA98" i="15" s="1"/>
  <c r="AS97" i="15"/>
  <c r="AQ97" i="15"/>
  <c r="AO97" i="15"/>
  <c r="AP97" i="15" s="1"/>
  <c r="AM97" i="15"/>
  <c r="AI97" i="15"/>
  <c r="AJ97" i="15" s="1"/>
  <c r="AF97" i="15"/>
  <c r="AG97" i="15" s="1"/>
  <c r="AD97" i="15"/>
  <c r="AC97" i="15"/>
  <c r="Y97" i="15"/>
  <c r="AS96" i="15"/>
  <c r="AQ96" i="15"/>
  <c r="AO96" i="15"/>
  <c r="AP96" i="15" s="1"/>
  <c r="AM96" i="15"/>
  <c r="AI96" i="15"/>
  <c r="AJ96" i="15" s="1"/>
  <c r="AF96" i="15"/>
  <c r="AG96" i="15" s="1"/>
  <c r="AD96" i="15"/>
  <c r="AC96" i="15"/>
  <c r="Y96" i="15"/>
  <c r="AS94" i="15"/>
  <c r="AQ94" i="15"/>
  <c r="AO94" i="15"/>
  <c r="AP94" i="15" s="1"/>
  <c r="AM94" i="15"/>
  <c r="AI94" i="15"/>
  <c r="AJ94" i="15" s="1"/>
  <c r="AF94" i="15"/>
  <c r="AG94" i="15" s="1"/>
  <c r="AD94" i="15"/>
  <c r="AC94" i="15"/>
  <c r="Z94" i="15"/>
  <c r="AA94" i="15" s="1"/>
  <c r="AS93" i="15"/>
  <c r="AQ93" i="15"/>
  <c r="AO93" i="15"/>
  <c r="AP93" i="15" s="1"/>
  <c r="AM93" i="15"/>
  <c r="AI93" i="15"/>
  <c r="AJ93" i="15" s="1"/>
  <c r="AF93" i="15"/>
  <c r="AG93" i="15" s="1"/>
  <c r="AD93" i="15"/>
  <c r="AC93" i="15"/>
  <c r="Z93" i="15" s="1"/>
  <c r="AA93" i="15" s="1"/>
  <c r="AS92" i="15"/>
  <c r="AQ92" i="15"/>
  <c r="AO92" i="15"/>
  <c r="AP92" i="15" s="1"/>
  <c r="AM92" i="15"/>
  <c r="AI92" i="15"/>
  <c r="AJ92" i="15" s="1"/>
  <c r="AF92" i="15"/>
  <c r="AG92" i="15" s="1"/>
  <c r="AD92" i="15"/>
  <c r="AC92" i="15"/>
  <c r="Y92" i="15"/>
  <c r="Z92" i="15" s="1"/>
  <c r="AA92" i="15" s="1"/>
  <c r="AS91" i="15"/>
  <c r="AQ91" i="15"/>
  <c r="AO91" i="15"/>
  <c r="AP91" i="15" s="1"/>
  <c r="AM91" i="15"/>
  <c r="AI91" i="15"/>
  <c r="AJ91" i="15" s="1"/>
  <c r="AF91" i="15"/>
  <c r="AG91" i="15" s="1"/>
  <c r="AD91" i="15"/>
  <c r="AC91" i="15"/>
  <c r="Z91" i="15"/>
  <c r="AA91" i="15" s="1"/>
  <c r="AS90" i="15"/>
  <c r="AQ90" i="15"/>
  <c r="AO90" i="15"/>
  <c r="AP90" i="15" s="1"/>
  <c r="AM90" i="15"/>
  <c r="AI90" i="15"/>
  <c r="AJ90" i="15" s="1"/>
  <c r="AF90" i="15"/>
  <c r="AG90" i="15" s="1"/>
  <c r="AD90" i="15"/>
  <c r="AC90" i="15"/>
  <c r="AS89" i="15"/>
  <c r="AQ89" i="15"/>
  <c r="AP89" i="15"/>
  <c r="AO89" i="15"/>
  <c r="AM89" i="15"/>
  <c r="AI89" i="15"/>
  <c r="AJ89" i="15" s="1"/>
  <c r="AF89" i="15"/>
  <c r="AG89" i="15" s="1"/>
  <c r="AD89" i="15"/>
  <c r="AC89" i="15"/>
  <c r="AS88" i="15"/>
  <c r="AQ88" i="15"/>
  <c r="AO88" i="15"/>
  <c r="AP88" i="15" s="1"/>
  <c r="AM88" i="15"/>
  <c r="AI88" i="15"/>
  <c r="AJ88" i="15" s="1"/>
  <c r="AF88" i="15"/>
  <c r="AG88" i="15" s="1"/>
  <c r="AD88" i="15"/>
  <c r="AC88" i="15"/>
  <c r="Z88" i="15" s="1"/>
  <c r="AA88" i="15" s="1"/>
  <c r="AS87" i="15"/>
  <c r="AQ87" i="15"/>
  <c r="AO87" i="15"/>
  <c r="AP87" i="15" s="1"/>
  <c r="AM87" i="15"/>
  <c r="AI87" i="15"/>
  <c r="AJ87" i="15" s="1"/>
  <c r="AF87" i="15"/>
  <c r="AG87" i="15" s="1"/>
  <c r="AD87" i="15"/>
  <c r="AC87" i="15"/>
  <c r="X87" i="15"/>
  <c r="AS86" i="15"/>
  <c r="AQ86" i="15"/>
  <c r="AO86" i="15"/>
  <c r="AP86" i="15" s="1"/>
  <c r="AM86" i="15"/>
  <c r="AI86" i="15"/>
  <c r="AJ86" i="15" s="1"/>
  <c r="AF86" i="15"/>
  <c r="AG86" i="15" s="1"/>
  <c r="AD86" i="15"/>
  <c r="AC86" i="15"/>
  <c r="AS85" i="15"/>
  <c r="AQ85" i="15"/>
  <c r="AO85" i="15"/>
  <c r="AP85" i="15" s="1"/>
  <c r="AM85" i="15"/>
  <c r="AI85" i="15"/>
  <c r="AJ85" i="15" s="1"/>
  <c r="AF85" i="15"/>
  <c r="AG85" i="15" s="1"/>
  <c r="AD85" i="15"/>
  <c r="AC85" i="15"/>
  <c r="Y85" i="15"/>
  <c r="AS84" i="15"/>
  <c r="AQ84" i="15"/>
  <c r="AO84" i="15"/>
  <c r="AP84" i="15" s="1"/>
  <c r="AM84" i="15"/>
  <c r="AI84" i="15"/>
  <c r="AJ84" i="15" s="1"/>
  <c r="AF84" i="15"/>
  <c r="AG84" i="15" s="1"/>
  <c r="AD84" i="15"/>
  <c r="AC84" i="15"/>
  <c r="Y84" i="15"/>
  <c r="Z84" i="15" s="1"/>
  <c r="AA84" i="15" s="1"/>
  <c r="AS83" i="15"/>
  <c r="AQ83" i="15"/>
  <c r="AO83" i="15"/>
  <c r="AP83" i="15" s="1"/>
  <c r="AM83" i="15"/>
  <c r="AI83" i="15"/>
  <c r="AJ83" i="15" s="1"/>
  <c r="AF83" i="15"/>
  <c r="AG83" i="15" s="1"/>
  <c r="AD83" i="15"/>
  <c r="AC83" i="15"/>
  <c r="Y83" i="15"/>
  <c r="AS82" i="15"/>
  <c r="AQ82" i="15"/>
  <c r="AO82" i="15"/>
  <c r="AP82" i="15" s="1"/>
  <c r="AM82" i="15"/>
  <c r="AI82" i="15"/>
  <c r="AJ82" i="15" s="1"/>
  <c r="AF82" i="15"/>
  <c r="AG82" i="15" s="1"/>
  <c r="AD82" i="15"/>
  <c r="AC82" i="15"/>
  <c r="Y82" i="15"/>
  <c r="AS81" i="15"/>
  <c r="AQ81" i="15"/>
  <c r="AO81" i="15"/>
  <c r="AP81" i="15" s="1"/>
  <c r="AM81" i="15"/>
  <c r="AI81" i="15"/>
  <c r="AJ81" i="15" s="1"/>
  <c r="AF81" i="15"/>
  <c r="AG81" i="15" s="1"/>
  <c r="AD81" i="15"/>
  <c r="AC81" i="15"/>
  <c r="Y81" i="15"/>
  <c r="AS79" i="15"/>
  <c r="AQ79" i="15"/>
  <c r="AO79" i="15"/>
  <c r="AP79" i="15" s="1"/>
  <c r="AM79" i="15"/>
  <c r="AI79" i="15"/>
  <c r="AJ79" i="15" s="1"/>
  <c r="AF79" i="15"/>
  <c r="AG79" i="15" s="1"/>
  <c r="AD79" i="15"/>
  <c r="AC79" i="15"/>
  <c r="Z79" i="15" s="1"/>
  <c r="AA79" i="15" s="1"/>
  <c r="AS78" i="15"/>
  <c r="AQ78" i="15"/>
  <c r="AO78" i="15"/>
  <c r="AP78" i="15" s="1"/>
  <c r="AM78" i="15"/>
  <c r="AI78" i="15"/>
  <c r="AJ78" i="15" s="1"/>
  <c r="AF78" i="15"/>
  <c r="AG78" i="15" s="1"/>
  <c r="AD78" i="15"/>
  <c r="AC78" i="15"/>
  <c r="Z78" i="15" s="1"/>
  <c r="AA78" i="15" s="1"/>
  <c r="AS77" i="15"/>
  <c r="AQ77" i="15"/>
  <c r="AO77" i="15"/>
  <c r="AP77" i="15" s="1"/>
  <c r="AM77" i="15"/>
  <c r="AI77" i="15"/>
  <c r="AJ77" i="15" s="1"/>
  <c r="AF77" i="15"/>
  <c r="AG77" i="15" s="1"/>
  <c r="AD77" i="15"/>
  <c r="AC77" i="15"/>
  <c r="Y77" i="15"/>
  <c r="Z77" i="15" s="1"/>
  <c r="AA77" i="15" s="1"/>
  <c r="AS76" i="15"/>
  <c r="AQ76" i="15"/>
  <c r="AO76" i="15"/>
  <c r="AP76" i="15" s="1"/>
  <c r="AM76" i="15"/>
  <c r="AI76" i="15"/>
  <c r="AJ76" i="15" s="1"/>
  <c r="AF76" i="15"/>
  <c r="AG76" i="15" s="1"/>
  <c r="AD76" i="15"/>
  <c r="AC76" i="15"/>
  <c r="Z76" i="15" s="1"/>
  <c r="AA76" i="15" s="1"/>
  <c r="AS75" i="15"/>
  <c r="AQ75" i="15"/>
  <c r="AO75" i="15"/>
  <c r="AP75" i="15" s="1"/>
  <c r="AM75" i="15"/>
  <c r="AI75" i="15"/>
  <c r="AJ75" i="15" s="1"/>
  <c r="AF75" i="15"/>
  <c r="AG75" i="15" s="1"/>
  <c r="AD75" i="15"/>
  <c r="AC75" i="15"/>
  <c r="AS74" i="15"/>
  <c r="AQ74" i="15"/>
  <c r="AO74" i="15"/>
  <c r="AP74" i="15" s="1"/>
  <c r="AM74" i="15"/>
  <c r="AI74" i="15"/>
  <c r="AJ74" i="15" s="1"/>
  <c r="AF74" i="15"/>
  <c r="AG74" i="15" s="1"/>
  <c r="AD74" i="15"/>
  <c r="AC74" i="15"/>
  <c r="AS73" i="15"/>
  <c r="AQ73" i="15"/>
  <c r="AO73" i="15"/>
  <c r="AP73" i="15" s="1"/>
  <c r="AM73" i="15"/>
  <c r="AI73" i="15"/>
  <c r="AJ73" i="15" s="1"/>
  <c r="AF73" i="15"/>
  <c r="AG73" i="15" s="1"/>
  <c r="AD73" i="15"/>
  <c r="AC73" i="15"/>
  <c r="AS72" i="15"/>
  <c r="AQ72" i="15"/>
  <c r="AO72" i="15"/>
  <c r="AP72" i="15" s="1"/>
  <c r="AM72" i="15"/>
  <c r="AI72" i="15"/>
  <c r="AJ72" i="15" s="1"/>
  <c r="AF72" i="15"/>
  <c r="AG72" i="15" s="1"/>
  <c r="AD72" i="15"/>
  <c r="Z72" i="15" s="1"/>
  <c r="AA72" i="15" s="1"/>
  <c r="AC72" i="15"/>
  <c r="X72" i="15"/>
  <c r="AS71" i="15"/>
  <c r="AQ71" i="15"/>
  <c r="AO71" i="15"/>
  <c r="AP71" i="15" s="1"/>
  <c r="AM71" i="15"/>
  <c r="AI71" i="15"/>
  <c r="AJ71" i="15" s="1"/>
  <c r="AF71" i="15"/>
  <c r="AG71" i="15" s="1"/>
  <c r="AD71" i="15"/>
  <c r="Z71" i="15" s="1"/>
  <c r="AA71" i="15" s="1"/>
  <c r="AC71" i="15"/>
  <c r="AS70" i="15"/>
  <c r="AQ70" i="15"/>
  <c r="AO70" i="15"/>
  <c r="AP70" i="15" s="1"/>
  <c r="AM70" i="15"/>
  <c r="AJ70" i="15"/>
  <c r="AI70" i="15"/>
  <c r="AF70" i="15"/>
  <c r="AG70" i="15" s="1"/>
  <c r="AD70" i="15"/>
  <c r="AC70" i="15"/>
  <c r="Y70" i="15"/>
  <c r="AS69" i="15"/>
  <c r="AQ69" i="15"/>
  <c r="AO69" i="15"/>
  <c r="AP69" i="15" s="1"/>
  <c r="AM69" i="15"/>
  <c r="AI69" i="15"/>
  <c r="AJ69" i="15" s="1"/>
  <c r="AF69" i="15"/>
  <c r="AG69" i="15" s="1"/>
  <c r="AD69" i="15"/>
  <c r="AC69" i="15"/>
  <c r="Y69" i="15"/>
  <c r="Z69" i="15" s="1"/>
  <c r="AA69" i="15" s="1"/>
  <c r="AS68" i="15"/>
  <c r="AQ68" i="15"/>
  <c r="AO68" i="15"/>
  <c r="AP68" i="15" s="1"/>
  <c r="AM68" i="15"/>
  <c r="AI68" i="15"/>
  <c r="AJ68" i="15" s="1"/>
  <c r="AF68" i="15"/>
  <c r="AG68" i="15" s="1"/>
  <c r="AD68" i="15"/>
  <c r="AC68" i="15"/>
  <c r="Y68" i="15"/>
  <c r="Z68" i="15" s="1"/>
  <c r="AA68" i="15" s="1"/>
  <c r="AS67" i="15"/>
  <c r="AQ67" i="15"/>
  <c r="AO67" i="15"/>
  <c r="AP67" i="15" s="1"/>
  <c r="AM67" i="15"/>
  <c r="AI67" i="15"/>
  <c r="AJ67" i="15" s="1"/>
  <c r="AF67" i="15"/>
  <c r="AG67" i="15" s="1"/>
  <c r="AD67" i="15"/>
  <c r="AC67" i="15"/>
  <c r="Y67" i="15"/>
  <c r="AS66" i="15"/>
  <c r="AQ66" i="15"/>
  <c r="AO66" i="15"/>
  <c r="AP66" i="15" s="1"/>
  <c r="AM66" i="15"/>
  <c r="AI66" i="15"/>
  <c r="AJ66" i="15" s="1"/>
  <c r="AF66" i="15"/>
  <c r="AG66" i="15" s="1"/>
  <c r="AD66" i="15"/>
  <c r="AC66" i="15"/>
  <c r="Y66" i="15"/>
  <c r="AS64" i="15"/>
  <c r="AQ64" i="15"/>
  <c r="AO64" i="15"/>
  <c r="AP64" i="15" s="1"/>
  <c r="AM64" i="15"/>
  <c r="AI64" i="15"/>
  <c r="AJ64" i="15" s="1"/>
  <c r="AF64" i="15"/>
  <c r="AG64" i="15" s="1"/>
  <c r="AD64" i="15"/>
  <c r="Z64" i="15" s="1"/>
  <c r="AA64" i="15" s="1"/>
  <c r="AC64" i="15"/>
  <c r="AS63" i="15"/>
  <c r="AQ63" i="15"/>
  <c r="AO63" i="15"/>
  <c r="AP63" i="15" s="1"/>
  <c r="AM63" i="15"/>
  <c r="AI63" i="15"/>
  <c r="AJ63" i="15" s="1"/>
  <c r="AF63" i="15"/>
  <c r="AG63" i="15" s="1"/>
  <c r="AD63" i="15"/>
  <c r="Z63" i="15" s="1"/>
  <c r="AA63" i="15" s="1"/>
  <c r="AC63" i="15"/>
  <c r="AS62" i="15"/>
  <c r="AQ62" i="15"/>
  <c r="AO62" i="15"/>
  <c r="AP62" i="15" s="1"/>
  <c r="AM62" i="15"/>
  <c r="AI62" i="15"/>
  <c r="AJ62" i="15" s="1"/>
  <c r="AF62" i="15"/>
  <c r="AG62" i="15" s="1"/>
  <c r="AD62" i="15"/>
  <c r="AC62" i="15"/>
  <c r="Y62" i="15"/>
  <c r="AS61" i="15"/>
  <c r="AQ61" i="15"/>
  <c r="AO61" i="15"/>
  <c r="AP61" i="15" s="1"/>
  <c r="AM61" i="15"/>
  <c r="AI61" i="15"/>
  <c r="AJ61" i="15" s="1"/>
  <c r="AF61" i="15"/>
  <c r="AG61" i="15" s="1"/>
  <c r="AD61" i="15"/>
  <c r="AC61" i="15"/>
  <c r="AS60" i="15"/>
  <c r="AQ60" i="15"/>
  <c r="AO60" i="15"/>
  <c r="AP60" i="15" s="1"/>
  <c r="AM60" i="15"/>
  <c r="AI60" i="15"/>
  <c r="AJ60" i="15" s="1"/>
  <c r="AF60" i="15"/>
  <c r="AG60" i="15" s="1"/>
  <c r="AD60" i="15"/>
  <c r="AC60" i="15"/>
  <c r="AS59" i="15"/>
  <c r="AQ59" i="15"/>
  <c r="AO59" i="15"/>
  <c r="AP59" i="15" s="1"/>
  <c r="AM59" i="15"/>
  <c r="AI59" i="15"/>
  <c r="AJ59" i="15" s="1"/>
  <c r="AF59" i="15"/>
  <c r="AG59" i="15" s="1"/>
  <c r="AD59" i="15"/>
  <c r="AC59" i="15"/>
  <c r="Z59" i="15" s="1"/>
  <c r="AA59" i="15" s="1"/>
  <c r="AS58" i="15"/>
  <c r="AQ58" i="15"/>
  <c r="AO58" i="15"/>
  <c r="AP58" i="15" s="1"/>
  <c r="AM58" i="15"/>
  <c r="AI58" i="15"/>
  <c r="AJ58" i="15" s="1"/>
  <c r="AF58" i="15"/>
  <c r="AG58" i="15" s="1"/>
  <c r="AD58" i="15"/>
  <c r="AC58" i="15"/>
  <c r="Z58" i="15" s="1"/>
  <c r="AA58" i="15" s="1"/>
  <c r="AS57" i="15"/>
  <c r="AQ57" i="15"/>
  <c r="AO57" i="15"/>
  <c r="AP57" i="15" s="1"/>
  <c r="AM57" i="15"/>
  <c r="AI57" i="15"/>
  <c r="AJ57" i="15" s="1"/>
  <c r="AF57" i="15"/>
  <c r="AG57" i="15" s="1"/>
  <c r="AD57" i="15"/>
  <c r="AC57" i="15"/>
  <c r="Z57" i="15" s="1"/>
  <c r="AA57" i="15" s="1"/>
  <c r="X57" i="15"/>
  <c r="AS56" i="15"/>
  <c r="AQ56" i="15"/>
  <c r="AO56" i="15"/>
  <c r="AP56" i="15" s="1"/>
  <c r="AM56" i="15"/>
  <c r="AI56" i="15"/>
  <c r="AJ56" i="15" s="1"/>
  <c r="AF56" i="15"/>
  <c r="AG56" i="15" s="1"/>
  <c r="AD56" i="15"/>
  <c r="AC56" i="15"/>
  <c r="Z56" i="15" s="1"/>
  <c r="AA56" i="15" s="1"/>
  <c r="AS55" i="15"/>
  <c r="AQ55" i="15"/>
  <c r="AO55" i="15"/>
  <c r="AP55" i="15" s="1"/>
  <c r="AM55" i="15"/>
  <c r="AI55" i="15"/>
  <c r="AJ55" i="15" s="1"/>
  <c r="AF55" i="15"/>
  <c r="AG55" i="15" s="1"/>
  <c r="AD55" i="15"/>
  <c r="AC55" i="15"/>
  <c r="Y55" i="15"/>
  <c r="AS54" i="15"/>
  <c r="AQ54" i="15"/>
  <c r="AO54" i="15"/>
  <c r="AP54" i="15" s="1"/>
  <c r="AM54" i="15"/>
  <c r="AI54" i="15"/>
  <c r="AJ54" i="15" s="1"/>
  <c r="AF54" i="15"/>
  <c r="AG54" i="15" s="1"/>
  <c r="AD54" i="15"/>
  <c r="AC54" i="15"/>
  <c r="Y54" i="15"/>
  <c r="Z54" i="15" s="1"/>
  <c r="AA54" i="15" s="1"/>
  <c r="AS53" i="15"/>
  <c r="AQ53" i="15"/>
  <c r="AO53" i="15"/>
  <c r="AP53" i="15" s="1"/>
  <c r="AM53" i="15"/>
  <c r="AI53" i="15"/>
  <c r="AJ53" i="15" s="1"/>
  <c r="AF53" i="15"/>
  <c r="AG53" i="15" s="1"/>
  <c r="AD53" i="15"/>
  <c r="AC53" i="15"/>
  <c r="Y53" i="15"/>
  <c r="AS52" i="15"/>
  <c r="AQ52" i="15"/>
  <c r="AO52" i="15"/>
  <c r="AP52" i="15" s="1"/>
  <c r="AM52" i="15"/>
  <c r="AI52" i="15"/>
  <c r="AJ52" i="15" s="1"/>
  <c r="AF52" i="15"/>
  <c r="AG52" i="15" s="1"/>
  <c r="AD52" i="15"/>
  <c r="AC52" i="15"/>
  <c r="Y52" i="15"/>
  <c r="AS51" i="15"/>
  <c r="AQ51" i="15"/>
  <c r="AO51" i="15"/>
  <c r="AP51" i="15" s="1"/>
  <c r="AM51" i="15"/>
  <c r="AI51" i="15"/>
  <c r="AJ51" i="15" s="1"/>
  <c r="AF51" i="15"/>
  <c r="AG51" i="15" s="1"/>
  <c r="AD51" i="15"/>
  <c r="AC51" i="15"/>
  <c r="Y51" i="15"/>
  <c r="AS49" i="15"/>
  <c r="AQ49" i="15"/>
  <c r="AO49" i="15"/>
  <c r="AP49" i="15" s="1"/>
  <c r="AM49" i="15"/>
  <c r="AI49" i="15"/>
  <c r="AJ49" i="15" s="1"/>
  <c r="AF49" i="15"/>
  <c r="AG49" i="15" s="1"/>
  <c r="AD49" i="15"/>
  <c r="AC49" i="15"/>
  <c r="AS48" i="15"/>
  <c r="AQ48" i="15"/>
  <c r="AO48" i="15"/>
  <c r="AP48" i="15" s="1"/>
  <c r="AM48" i="15"/>
  <c r="AJ48" i="15"/>
  <c r="AI48" i="15"/>
  <c r="AF48" i="15"/>
  <c r="AG48" i="15" s="1"/>
  <c r="AD48" i="15"/>
  <c r="AC48" i="15"/>
  <c r="AS47" i="15"/>
  <c r="AQ47" i="15"/>
  <c r="AO47" i="15"/>
  <c r="AP47" i="15" s="1"/>
  <c r="AM47" i="15"/>
  <c r="AI47" i="15"/>
  <c r="AJ47" i="15" s="1"/>
  <c r="AF47" i="15"/>
  <c r="AG47" i="15" s="1"/>
  <c r="AD47" i="15"/>
  <c r="AC47" i="15"/>
  <c r="Y47" i="15"/>
  <c r="AS46" i="15"/>
  <c r="AQ46" i="15"/>
  <c r="AO46" i="15"/>
  <c r="AP46" i="15" s="1"/>
  <c r="AM46" i="15"/>
  <c r="AI46" i="15"/>
  <c r="AJ46" i="15" s="1"/>
  <c r="AF46" i="15"/>
  <c r="AG46" i="15" s="1"/>
  <c r="AD46" i="15"/>
  <c r="Z46" i="15" s="1"/>
  <c r="AA46" i="15" s="1"/>
  <c r="AC46" i="15"/>
  <c r="AS45" i="15"/>
  <c r="AQ45" i="15"/>
  <c r="AO45" i="15"/>
  <c r="AP45" i="15" s="1"/>
  <c r="AM45" i="15"/>
  <c r="AI45" i="15"/>
  <c r="AJ45" i="15" s="1"/>
  <c r="AF45" i="15"/>
  <c r="AG45" i="15" s="1"/>
  <c r="AD45" i="15"/>
  <c r="AC45" i="15"/>
  <c r="AS44" i="15"/>
  <c r="AQ44" i="15"/>
  <c r="AO44" i="15"/>
  <c r="AP44" i="15" s="1"/>
  <c r="AM44" i="15"/>
  <c r="AI44" i="15"/>
  <c r="AJ44" i="15" s="1"/>
  <c r="AF44" i="15"/>
  <c r="AG44" i="15" s="1"/>
  <c r="AD44" i="15"/>
  <c r="AC44" i="15"/>
  <c r="Z44" i="15" s="1"/>
  <c r="AA44" i="15" s="1"/>
  <c r="AS43" i="15"/>
  <c r="AQ43" i="15"/>
  <c r="AO43" i="15"/>
  <c r="AP43" i="15" s="1"/>
  <c r="AM43" i="15"/>
  <c r="AI43" i="15"/>
  <c r="AJ43" i="15" s="1"/>
  <c r="AF43" i="15"/>
  <c r="AG43" i="15" s="1"/>
  <c r="AD43" i="15"/>
  <c r="AC43" i="15"/>
  <c r="Z43" i="15" s="1"/>
  <c r="AA43" i="15" s="1"/>
  <c r="AS42" i="15"/>
  <c r="AQ42" i="15"/>
  <c r="AO42" i="15"/>
  <c r="AP42" i="15" s="1"/>
  <c r="AM42" i="15"/>
  <c r="AI42" i="15"/>
  <c r="AJ42" i="15" s="1"/>
  <c r="AF42" i="15"/>
  <c r="AG42" i="15" s="1"/>
  <c r="AD42" i="15"/>
  <c r="AC42" i="15"/>
  <c r="X42" i="15"/>
  <c r="AS41" i="15"/>
  <c r="AQ41" i="15"/>
  <c r="AO41" i="15"/>
  <c r="AP41" i="15" s="1"/>
  <c r="AM41" i="15"/>
  <c r="AI41" i="15"/>
  <c r="AJ41" i="15" s="1"/>
  <c r="AF41" i="15"/>
  <c r="AG41" i="15" s="1"/>
  <c r="AD41" i="15"/>
  <c r="AC41" i="15"/>
  <c r="AS40" i="15"/>
  <c r="AQ40" i="15"/>
  <c r="AO40" i="15"/>
  <c r="AP40" i="15" s="1"/>
  <c r="AM40" i="15"/>
  <c r="AI40" i="15"/>
  <c r="AJ40" i="15" s="1"/>
  <c r="AF40" i="15"/>
  <c r="AG40" i="15" s="1"/>
  <c r="AD40" i="15"/>
  <c r="AC40" i="15"/>
  <c r="Y40" i="15"/>
  <c r="AS39" i="15"/>
  <c r="AQ39" i="15"/>
  <c r="AO39" i="15"/>
  <c r="AP39" i="15" s="1"/>
  <c r="AM39" i="15"/>
  <c r="AI39" i="15"/>
  <c r="AJ39" i="15" s="1"/>
  <c r="AF39" i="15"/>
  <c r="AG39" i="15" s="1"/>
  <c r="AD39" i="15"/>
  <c r="AC39" i="15"/>
  <c r="Y39" i="15"/>
  <c r="AS38" i="15"/>
  <c r="AQ38" i="15"/>
  <c r="AO38" i="15"/>
  <c r="AP38" i="15" s="1"/>
  <c r="AM38" i="15"/>
  <c r="AI38" i="15"/>
  <c r="AJ38" i="15" s="1"/>
  <c r="AF38" i="15"/>
  <c r="AG38" i="15" s="1"/>
  <c r="AD38" i="15"/>
  <c r="AC38" i="15"/>
  <c r="Y38" i="15"/>
  <c r="AS37" i="15"/>
  <c r="AQ37" i="15"/>
  <c r="AO37" i="15"/>
  <c r="AP37" i="15" s="1"/>
  <c r="AM37" i="15"/>
  <c r="AI37" i="15"/>
  <c r="AJ37" i="15" s="1"/>
  <c r="AF37" i="15"/>
  <c r="AG37" i="15" s="1"/>
  <c r="AD37" i="15"/>
  <c r="AC37" i="15"/>
  <c r="Y37" i="15"/>
  <c r="AS36" i="15"/>
  <c r="AQ36" i="15"/>
  <c r="AO36" i="15"/>
  <c r="AP36" i="15" s="1"/>
  <c r="AM36" i="15"/>
  <c r="AI36" i="15"/>
  <c r="AJ36" i="15" s="1"/>
  <c r="AF36" i="15"/>
  <c r="AG36" i="15" s="1"/>
  <c r="AD36" i="15"/>
  <c r="AC36" i="15"/>
  <c r="Y36" i="15"/>
  <c r="Z36" i="15" s="1"/>
  <c r="AA36" i="15" s="1"/>
  <c r="AS34" i="15"/>
  <c r="AQ34" i="15"/>
  <c r="AO34" i="15"/>
  <c r="AP34" i="15" s="1"/>
  <c r="AM34" i="15"/>
  <c r="AI34" i="15"/>
  <c r="AJ34" i="15" s="1"/>
  <c r="AF34" i="15"/>
  <c r="AG34" i="15" s="1"/>
  <c r="AD34" i="15"/>
  <c r="AC34" i="15"/>
  <c r="Z34" i="15" s="1"/>
  <c r="AA34" i="15" s="1"/>
  <c r="AS33" i="15"/>
  <c r="AQ33" i="15"/>
  <c r="AO33" i="15"/>
  <c r="AP33" i="15" s="1"/>
  <c r="AM33" i="15"/>
  <c r="AI33" i="15"/>
  <c r="AJ33" i="15" s="1"/>
  <c r="AF33" i="15"/>
  <c r="AG33" i="15" s="1"/>
  <c r="AD33" i="15"/>
  <c r="Z33" i="15" s="1"/>
  <c r="AA33" i="15" s="1"/>
  <c r="AC33" i="15"/>
  <c r="AS32" i="15"/>
  <c r="AQ32" i="15"/>
  <c r="AO32" i="15"/>
  <c r="AP32" i="15" s="1"/>
  <c r="AM32" i="15"/>
  <c r="AI32" i="15"/>
  <c r="AJ32" i="15" s="1"/>
  <c r="AF32" i="15"/>
  <c r="AG32" i="15" s="1"/>
  <c r="AD32" i="15"/>
  <c r="AC32" i="15"/>
  <c r="Y32" i="15"/>
  <c r="Z32" i="15" s="1"/>
  <c r="AA32" i="15" s="1"/>
  <c r="AS31" i="15"/>
  <c r="AQ31" i="15"/>
  <c r="AO31" i="15"/>
  <c r="AP31" i="15" s="1"/>
  <c r="AM31" i="15"/>
  <c r="AI31" i="15"/>
  <c r="AJ31" i="15" s="1"/>
  <c r="AF31" i="15"/>
  <c r="AG31" i="15" s="1"/>
  <c r="AD31" i="15"/>
  <c r="AC31" i="15"/>
  <c r="Z31" i="15"/>
  <c r="AA31" i="15" s="1"/>
  <c r="AS30" i="15"/>
  <c r="AQ30" i="15"/>
  <c r="AO30" i="15"/>
  <c r="AP30" i="15" s="1"/>
  <c r="AM30" i="15"/>
  <c r="AI30" i="15"/>
  <c r="AJ30" i="15" s="1"/>
  <c r="AF30" i="15"/>
  <c r="AG30" i="15" s="1"/>
  <c r="AD30" i="15"/>
  <c r="AC30" i="15"/>
  <c r="AS29" i="15"/>
  <c r="AQ29" i="15"/>
  <c r="AO29" i="15"/>
  <c r="AP29" i="15" s="1"/>
  <c r="AM29" i="15"/>
  <c r="AI29" i="15"/>
  <c r="AJ29" i="15" s="1"/>
  <c r="AF29" i="15"/>
  <c r="AG29" i="15" s="1"/>
  <c r="AD29" i="15"/>
  <c r="AC29" i="15"/>
  <c r="AS28" i="15"/>
  <c r="AQ28" i="15"/>
  <c r="AO28" i="15"/>
  <c r="AP28" i="15" s="1"/>
  <c r="AM28" i="15"/>
  <c r="AI28" i="15"/>
  <c r="AJ28" i="15" s="1"/>
  <c r="AF28" i="15"/>
  <c r="AG28" i="15" s="1"/>
  <c r="AD28" i="15"/>
  <c r="AC28" i="15"/>
  <c r="AS27" i="15"/>
  <c r="AQ27" i="15"/>
  <c r="AO27" i="15"/>
  <c r="AP27" i="15" s="1"/>
  <c r="AM27" i="15"/>
  <c r="AI27" i="15"/>
  <c r="AJ27" i="15" s="1"/>
  <c r="AF27" i="15"/>
  <c r="AG27" i="15" s="1"/>
  <c r="AD27" i="15"/>
  <c r="Z27" i="15" s="1"/>
  <c r="AA27" i="15" s="1"/>
  <c r="AC27" i="15"/>
  <c r="X27" i="15"/>
  <c r="AS26" i="15"/>
  <c r="AQ26" i="15"/>
  <c r="AO26" i="15"/>
  <c r="AP26" i="15" s="1"/>
  <c r="AM26" i="15"/>
  <c r="AI26" i="15"/>
  <c r="AJ26" i="15" s="1"/>
  <c r="AF26" i="15"/>
  <c r="AG26" i="15" s="1"/>
  <c r="AD26" i="15"/>
  <c r="Z26" i="15" s="1"/>
  <c r="AA26" i="15" s="1"/>
  <c r="AC26" i="15"/>
  <c r="AS25" i="15"/>
  <c r="AQ25" i="15"/>
  <c r="AO25" i="15"/>
  <c r="AP25" i="15" s="1"/>
  <c r="AM25" i="15"/>
  <c r="AI25" i="15"/>
  <c r="AJ25" i="15" s="1"/>
  <c r="AF25" i="15"/>
  <c r="AG25" i="15" s="1"/>
  <c r="AD25" i="15"/>
  <c r="AC25" i="15"/>
  <c r="Y25" i="15"/>
  <c r="AS24" i="15"/>
  <c r="AQ24" i="15"/>
  <c r="AO24" i="15"/>
  <c r="AP24" i="15" s="1"/>
  <c r="AM24" i="15"/>
  <c r="AI24" i="15"/>
  <c r="AJ24" i="15" s="1"/>
  <c r="AF24" i="15"/>
  <c r="AG24" i="15" s="1"/>
  <c r="AD24" i="15"/>
  <c r="AC24" i="15"/>
  <c r="Y24" i="15"/>
  <c r="AS23" i="15"/>
  <c r="AQ23" i="15"/>
  <c r="AO23" i="15"/>
  <c r="AP23" i="15" s="1"/>
  <c r="AM23" i="15"/>
  <c r="AI23" i="15"/>
  <c r="AJ23" i="15" s="1"/>
  <c r="AF23" i="15"/>
  <c r="AG23" i="15" s="1"/>
  <c r="AD23" i="15"/>
  <c r="AC23" i="15"/>
  <c r="Y23" i="15"/>
  <c r="AS22" i="15"/>
  <c r="AQ22" i="15"/>
  <c r="AO22" i="15"/>
  <c r="AP22" i="15" s="1"/>
  <c r="AM22" i="15"/>
  <c r="AI22" i="15"/>
  <c r="AJ22" i="15" s="1"/>
  <c r="AF22" i="15"/>
  <c r="AG22" i="15" s="1"/>
  <c r="AD22" i="15"/>
  <c r="AC22" i="15"/>
  <c r="Y22" i="15"/>
  <c r="AS21" i="15"/>
  <c r="AQ21" i="15"/>
  <c r="AO21" i="15"/>
  <c r="AP21" i="15" s="1"/>
  <c r="AM21" i="15"/>
  <c r="AI21" i="15"/>
  <c r="AJ21" i="15" s="1"/>
  <c r="AF21" i="15"/>
  <c r="AG21" i="15" s="1"/>
  <c r="AD21" i="15"/>
  <c r="AC21" i="15"/>
  <c r="Y21" i="15"/>
  <c r="AS19" i="15"/>
  <c r="AQ19" i="15"/>
  <c r="AO19" i="15"/>
  <c r="AP19" i="15" s="1"/>
  <c r="AM19" i="15"/>
  <c r="AI19" i="15"/>
  <c r="AJ19" i="15" s="1"/>
  <c r="AF19" i="15"/>
  <c r="AG19" i="15" s="1"/>
  <c r="AD19" i="15"/>
  <c r="AC19" i="15"/>
  <c r="AS18" i="15"/>
  <c r="AQ18" i="15"/>
  <c r="AO18" i="15"/>
  <c r="AP18" i="15" s="1"/>
  <c r="AM18" i="15"/>
  <c r="AI18" i="15"/>
  <c r="AJ18" i="15" s="1"/>
  <c r="AF18" i="15"/>
  <c r="AG18" i="15" s="1"/>
  <c r="AD18" i="15"/>
  <c r="AC18" i="15"/>
  <c r="AS17" i="15"/>
  <c r="AQ17" i="15"/>
  <c r="AO17" i="15"/>
  <c r="AP17" i="15" s="1"/>
  <c r="AM17" i="15"/>
  <c r="AI17" i="15"/>
  <c r="AJ17" i="15" s="1"/>
  <c r="AF17" i="15"/>
  <c r="AG17" i="15" s="1"/>
  <c r="AD17" i="15"/>
  <c r="AC17" i="15"/>
  <c r="Y17" i="15"/>
  <c r="AS16" i="15"/>
  <c r="AQ16" i="15"/>
  <c r="AO16" i="15"/>
  <c r="AP16" i="15" s="1"/>
  <c r="AM16" i="15"/>
  <c r="AI16" i="15"/>
  <c r="AJ16" i="15" s="1"/>
  <c r="AF16" i="15"/>
  <c r="AG16" i="15" s="1"/>
  <c r="AD16" i="15"/>
  <c r="AC16" i="15"/>
  <c r="AS15" i="15"/>
  <c r="AQ15" i="15"/>
  <c r="AO15" i="15"/>
  <c r="AP15" i="15" s="1"/>
  <c r="AM15" i="15"/>
  <c r="AI15" i="15"/>
  <c r="AJ15" i="15" s="1"/>
  <c r="AF15" i="15"/>
  <c r="AG15" i="15" s="1"/>
  <c r="AD15" i="15"/>
  <c r="AC15" i="15"/>
  <c r="AS14" i="15"/>
  <c r="AQ14" i="15"/>
  <c r="AO14" i="15"/>
  <c r="AP14" i="15" s="1"/>
  <c r="AM14" i="15"/>
  <c r="AI14" i="15"/>
  <c r="AJ14" i="15" s="1"/>
  <c r="AF14" i="15"/>
  <c r="AG14" i="15" s="1"/>
  <c r="AD14" i="15"/>
  <c r="AC14" i="15"/>
  <c r="Z14" i="15" s="1"/>
  <c r="AA14" i="15" s="1"/>
  <c r="AS13" i="15"/>
  <c r="AQ13" i="15"/>
  <c r="AO13" i="15"/>
  <c r="AP13" i="15" s="1"/>
  <c r="AM13" i="15"/>
  <c r="AI13" i="15"/>
  <c r="AJ13" i="15" s="1"/>
  <c r="AF13" i="15"/>
  <c r="AG13" i="15" s="1"/>
  <c r="AD13" i="15"/>
  <c r="AC13" i="15"/>
  <c r="AS12" i="15"/>
  <c r="AQ12" i="15"/>
  <c r="AO12" i="15"/>
  <c r="AP12" i="15" s="1"/>
  <c r="AM12" i="15"/>
  <c r="AI12" i="15"/>
  <c r="AJ12" i="15" s="1"/>
  <c r="AF12" i="15"/>
  <c r="AG12" i="15" s="1"/>
  <c r="AD12" i="15"/>
  <c r="AC12" i="15"/>
  <c r="X12" i="15"/>
  <c r="AS11" i="15"/>
  <c r="AQ11" i="15"/>
  <c r="AO11" i="15"/>
  <c r="AP11" i="15" s="1"/>
  <c r="AM11" i="15"/>
  <c r="AI11" i="15"/>
  <c r="AJ11" i="15" s="1"/>
  <c r="AF11" i="15"/>
  <c r="AG11" i="15" s="1"/>
  <c r="AD11" i="15"/>
  <c r="AC11" i="15"/>
  <c r="AS10" i="15"/>
  <c r="AQ10" i="15"/>
  <c r="AO10" i="15"/>
  <c r="AP10" i="15" s="1"/>
  <c r="AM10" i="15"/>
  <c r="AI10" i="15"/>
  <c r="AJ10" i="15" s="1"/>
  <c r="AF10" i="15"/>
  <c r="AG10" i="15" s="1"/>
  <c r="AD10" i="15"/>
  <c r="AC10" i="15"/>
  <c r="Y10" i="15"/>
  <c r="AS9" i="15"/>
  <c r="AQ9" i="15"/>
  <c r="AO9" i="15"/>
  <c r="AP9" i="15" s="1"/>
  <c r="AM9" i="15"/>
  <c r="AI9" i="15"/>
  <c r="AJ9" i="15" s="1"/>
  <c r="AF9" i="15"/>
  <c r="AG9" i="15" s="1"/>
  <c r="AD9" i="15"/>
  <c r="AC9" i="15"/>
  <c r="Y9" i="15"/>
  <c r="AS8" i="15"/>
  <c r="AQ8" i="15"/>
  <c r="AO8" i="15"/>
  <c r="AP8" i="15" s="1"/>
  <c r="AM8" i="15"/>
  <c r="AI8" i="15"/>
  <c r="AJ8" i="15" s="1"/>
  <c r="AF8" i="15"/>
  <c r="AG8" i="15" s="1"/>
  <c r="AD8" i="15"/>
  <c r="AC8" i="15"/>
  <c r="Y8" i="15"/>
  <c r="AS7" i="15"/>
  <c r="AQ7" i="15"/>
  <c r="AO7" i="15"/>
  <c r="AP7" i="15" s="1"/>
  <c r="AM7" i="15"/>
  <c r="AI7" i="15"/>
  <c r="AJ7" i="15" s="1"/>
  <c r="AF7" i="15"/>
  <c r="AG7" i="15" s="1"/>
  <c r="AD7" i="15"/>
  <c r="AC7" i="15"/>
  <c r="Y7" i="15"/>
  <c r="AS6" i="15"/>
  <c r="AQ6" i="15"/>
  <c r="AO6" i="15"/>
  <c r="AP6" i="15" s="1"/>
  <c r="AM6" i="15"/>
  <c r="AI6" i="15"/>
  <c r="AJ6" i="15" s="1"/>
  <c r="AF6" i="15"/>
  <c r="AG6" i="15" s="1"/>
  <c r="AD6" i="15"/>
  <c r="AC6" i="15"/>
  <c r="Y6" i="15"/>
  <c r="Z41" i="15" l="1"/>
  <c r="AA41" i="15" s="1"/>
  <c r="AH79" i="15"/>
  <c r="AK79" i="15" s="1"/>
  <c r="AV79" i="15" s="1"/>
  <c r="AW79" i="15" s="1"/>
  <c r="AX79" i="15" s="1"/>
  <c r="AY79" i="15" s="1"/>
  <c r="Z86" i="15"/>
  <c r="AA86" i="15" s="1"/>
  <c r="Z96" i="15"/>
  <c r="AA96" i="15" s="1"/>
  <c r="AH103" i="15"/>
  <c r="AK103" i="15" s="1"/>
  <c r="AV103" i="15" s="1"/>
  <c r="AW103" i="15" s="1"/>
  <c r="AX103" i="15" s="1"/>
  <c r="AY103" i="15" s="1"/>
  <c r="Z107" i="15"/>
  <c r="AA107" i="15" s="1"/>
  <c r="Z42" i="15"/>
  <c r="AA42" i="15" s="1"/>
  <c r="AH42" i="15" s="1"/>
  <c r="AK42" i="15" s="1"/>
  <c r="AV42" i="15" s="1"/>
  <c r="AW42" i="15" s="1"/>
  <c r="AX42" i="15" s="1"/>
  <c r="AY42" i="15" s="1"/>
  <c r="Z55" i="15"/>
  <c r="AA55" i="15" s="1"/>
  <c r="AH55" i="15" s="1"/>
  <c r="AK55" i="15" s="1"/>
  <c r="AV55" i="15" s="1"/>
  <c r="AW55" i="15" s="1"/>
  <c r="AX55" i="15" s="1"/>
  <c r="Z70" i="15"/>
  <c r="AA70" i="15" s="1"/>
  <c r="Z87" i="15"/>
  <c r="AA87" i="15" s="1"/>
  <c r="Z97" i="15"/>
  <c r="AA97" i="15" s="1"/>
  <c r="Z105" i="15"/>
  <c r="AA105" i="15" s="1"/>
  <c r="AH105" i="15" s="1"/>
  <c r="Z109" i="15"/>
  <c r="AA109" i="15" s="1"/>
  <c r="Z111" i="15"/>
  <c r="AA111" i="15" s="1"/>
  <c r="Z124" i="15"/>
  <c r="AA124" i="15" s="1"/>
  <c r="Z126" i="15"/>
  <c r="AA126" i="15" s="1"/>
  <c r="Z136" i="15"/>
  <c r="AA136" i="15" s="1"/>
  <c r="Z175" i="15"/>
  <c r="AA175" i="15" s="1"/>
  <c r="Z191" i="15"/>
  <c r="AA191" i="15" s="1"/>
  <c r="Z226" i="15"/>
  <c r="AA226" i="15" s="1"/>
  <c r="Z227" i="15"/>
  <c r="AA227" i="15" s="1"/>
  <c r="Z262" i="15"/>
  <c r="AA262" i="15" s="1"/>
  <c r="Z266" i="15"/>
  <c r="AA266" i="15" s="1"/>
  <c r="AH266" i="15" s="1"/>
  <c r="AK266" i="15" s="1"/>
  <c r="AV266" i="15" s="1"/>
  <c r="AW266" i="15" s="1"/>
  <c r="AX266" i="15" s="1"/>
  <c r="AY266" i="15" s="1"/>
  <c r="Z289" i="15"/>
  <c r="AA289" i="15" s="1"/>
  <c r="AH289" i="15" s="1"/>
  <c r="AK289" i="15" s="1"/>
  <c r="AV289" i="15" s="1"/>
  <c r="AW289" i="15" s="1"/>
  <c r="AX289" i="15" s="1"/>
  <c r="AY289" i="15" s="1"/>
  <c r="Z145" i="15"/>
  <c r="AA145" i="15" s="1"/>
  <c r="Z160" i="15"/>
  <c r="AA160" i="15" s="1"/>
  <c r="Z178" i="15"/>
  <c r="AA178" i="15" s="1"/>
  <c r="Z179" i="15"/>
  <c r="AA179" i="15" s="1"/>
  <c r="AH179" i="15" s="1"/>
  <c r="Z181" i="15"/>
  <c r="AA181" i="15" s="1"/>
  <c r="Z192" i="15"/>
  <c r="AA192" i="15" s="1"/>
  <c r="Z193" i="15"/>
  <c r="AA193" i="15" s="1"/>
  <c r="AH193" i="15" s="1"/>
  <c r="AK193" i="15" s="1"/>
  <c r="AV193" i="15" s="1"/>
  <c r="AW193" i="15" s="1"/>
  <c r="AX193" i="15" s="1"/>
  <c r="AY193" i="15" s="1"/>
  <c r="Z196" i="15"/>
  <c r="AA196" i="15" s="1"/>
  <c r="AH196" i="15" s="1"/>
  <c r="AK196" i="15" s="1"/>
  <c r="AV196" i="15" s="1"/>
  <c r="AW196" i="15" s="1"/>
  <c r="AX196" i="15" s="1"/>
  <c r="AY196" i="15" s="1"/>
  <c r="Z197" i="15"/>
  <c r="AA197" i="15" s="1"/>
  <c r="Z206" i="15"/>
  <c r="AA206" i="15" s="1"/>
  <c r="Z299" i="15"/>
  <c r="AA299" i="15" s="1"/>
  <c r="Z138" i="15"/>
  <c r="AA138" i="15" s="1"/>
  <c r="Z48" i="15"/>
  <c r="AA48" i="15" s="1"/>
  <c r="Z49" i="15"/>
  <c r="AA49" i="15" s="1"/>
  <c r="Z61" i="15"/>
  <c r="AA61" i="15" s="1"/>
  <c r="AH61" i="15" s="1"/>
  <c r="AK61" i="15" s="1"/>
  <c r="AV61" i="15" s="1"/>
  <c r="Z66" i="15"/>
  <c r="AA66" i="15" s="1"/>
  <c r="AH66" i="15" s="1"/>
  <c r="AK66" i="15" s="1"/>
  <c r="AV66" i="15" s="1"/>
  <c r="AW66" i="15" s="1"/>
  <c r="AX66" i="15" s="1"/>
  <c r="AY66" i="15" s="1"/>
  <c r="Z114" i="15"/>
  <c r="AA114" i="15" s="1"/>
  <c r="Z139" i="15"/>
  <c r="AA139" i="15" s="1"/>
  <c r="AH139" i="15" s="1"/>
  <c r="AK139" i="15" s="1"/>
  <c r="AV139" i="15" s="1"/>
  <c r="AW139" i="15" s="1"/>
  <c r="AX139" i="15" s="1"/>
  <c r="AY139" i="15" s="1"/>
  <c r="Z141" i="15"/>
  <c r="AA141" i="15" s="1"/>
  <c r="AH141" i="15" s="1"/>
  <c r="Z142" i="15"/>
  <c r="AA142" i="15" s="1"/>
  <c r="Z147" i="15"/>
  <c r="AA147" i="15" s="1"/>
  <c r="Z148" i="15"/>
  <c r="AA148" i="15" s="1"/>
  <c r="Z187" i="15"/>
  <c r="AA187" i="15" s="1"/>
  <c r="AH187" i="15" s="1"/>
  <c r="AK187" i="15" s="1"/>
  <c r="AV187" i="15" s="1"/>
  <c r="AW187" i="15" s="1"/>
  <c r="AX187" i="15" s="1"/>
  <c r="AY187" i="15" s="1"/>
  <c r="Z202" i="15"/>
  <c r="AA202" i="15" s="1"/>
  <c r="Z208" i="15"/>
  <c r="AA208" i="15" s="1"/>
  <c r="Z209" i="15"/>
  <c r="AA209" i="15" s="1"/>
  <c r="Z244" i="15"/>
  <c r="AA244" i="15" s="1"/>
  <c r="Z255" i="15"/>
  <c r="AA255" i="15" s="1"/>
  <c r="Z273" i="15"/>
  <c r="AA273" i="15" s="1"/>
  <c r="Z274" i="15"/>
  <c r="AA274" i="15" s="1"/>
  <c r="Z294" i="15"/>
  <c r="AA294" i="15" s="1"/>
  <c r="AH294" i="15" s="1"/>
  <c r="AK294" i="15" s="1"/>
  <c r="AV294" i="15" s="1"/>
  <c r="AW294" i="15" s="1"/>
  <c r="AX294" i="15" s="1"/>
  <c r="Z300" i="15"/>
  <c r="AA300" i="15" s="1"/>
  <c r="AH300" i="15" s="1"/>
  <c r="AK300" i="15" s="1"/>
  <c r="AV300" i="15" s="1"/>
  <c r="Z302" i="15"/>
  <c r="AA302" i="15" s="1"/>
  <c r="Z28" i="15"/>
  <c r="AA28" i="15" s="1"/>
  <c r="AH28" i="15" s="1"/>
  <c r="AK28" i="15" s="1"/>
  <c r="AV28" i="15" s="1"/>
  <c r="AW28" i="15" s="1"/>
  <c r="AX28" i="15" s="1"/>
  <c r="AY28" i="15" s="1"/>
  <c r="Z29" i="15"/>
  <c r="AA29" i="15" s="1"/>
  <c r="Z67" i="15"/>
  <c r="AA67" i="15" s="1"/>
  <c r="Z73" i="15"/>
  <c r="AA73" i="15" s="1"/>
  <c r="AH73" i="15" s="1"/>
  <c r="Z74" i="15"/>
  <c r="AA74" i="15" s="1"/>
  <c r="Z100" i="15"/>
  <c r="AA100" i="15" s="1"/>
  <c r="AH100" i="15" s="1"/>
  <c r="AK100" i="15" s="1"/>
  <c r="AV100" i="15" s="1"/>
  <c r="AW100" i="15" s="1"/>
  <c r="AX100" i="15" s="1"/>
  <c r="Z115" i="15"/>
  <c r="AA115" i="15" s="1"/>
  <c r="AH115" i="15" s="1"/>
  <c r="AK115" i="15" s="1"/>
  <c r="AV115" i="15" s="1"/>
  <c r="AW115" i="15" s="1"/>
  <c r="AX115" i="15" s="1"/>
  <c r="Z149" i="15"/>
  <c r="AA149" i="15" s="1"/>
  <c r="AH149" i="15" s="1"/>
  <c r="AK149" i="15" s="1"/>
  <c r="AV149" i="15" s="1"/>
  <c r="AW149" i="15" s="1"/>
  <c r="AX149" i="15" s="1"/>
  <c r="AY149" i="15" s="1"/>
  <c r="Z151" i="15"/>
  <c r="AA151" i="15" s="1"/>
  <c r="Z152" i="15"/>
  <c r="AA152" i="15" s="1"/>
  <c r="Z188" i="15"/>
  <c r="AA188" i="15" s="1"/>
  <c r="Z231" i="15"/>
  <c r="AA231" i="15" s="1"/>
  <c r="Z283" i="15"/>
  <c r="AA283" i="15" s="1"/>
  <c r="AH303" i="15"/>
  <c r="AK303" i="15" s="1"/>
  <c r="AV303" i="15" s="1"/>
  <c r="AW303" i="15" s="1"/>
  <c r="AX303" i="15" s="1"/>
  <c r="AY303" i="15" s="1"/>
  <c r="Z116" i="15"/>
  <c r="AA116" i="15" s="1"/>
  <c r="AH116" i="15" s="1"/>
  <c r="AK116" i="15" s="1"/>
  <c r="AV116" i="15" s="1"/>
  <c r="AW116" i="15" s="1"/>
  <c r="AX116" i="15" s="1"/>
  <c r="AY116" i="15" s="1"/>
  <c r="AH190" i="15"/>
  <c r="AH212" i="15"/>
  <c r="Z285" i="15"/>
  <c r="AA285" i="15" s="1"/>
  <c r="AH32" i="15"/>
  <c r="AH78" i="15"/>
  <c r="AH88" i="15"/>
  <c r="Z120" i="15"/>
  <c r="AA120" i="15" s="1"/>
  <c r="AH120" i="15" s="1"/>
  <c r="AK120" i="15" s="1"/>
  <c r="AV120" i="15" s="1"/>
  <c r="AH296" i="15"/>
  <c r="AK296" i="15" s="1"/>
  <c r="AV296" i="15" s="1"/>
  <c r="AW296" i="15" s="1"/>
  <c r="AX296" i="15" s="1"/>
  <c r="AY296" i="15" s="1"/>
  <c r="AH54" i="15"/>
  <c r="AH304" i="15"/>
  <c r="AK304" i="15" s="1"/>
  <c r="AV304" i="15" s="1"/>
  <c r="AW304" i="15" s="1"/>
  <c r="AX304" i="15" s="1"/>
  <c r="AY304" i="15" s="1"/>
  <c r="AH255" i="15"/>
  <c r="AK255" i="15" s="1"/>
  <c r="AV255" i="15" s="1"/>
  <c r="AH93" i="15"/>
  <c r="AK93" i="15" s="1"/>
  <c r="AV93" i="15" s="1"/>
  <c r="AW93" i="15" s="1"/>
  <c r="AX93" i="15" s="1"/>
  <c r="AY93" i="15" s="1"/>
  <c r="AH96" i="15"/>
  <c r="AK96" i="15" s="1"/>
  <c r="AV96" i="15" s="1"/>
  <c r="AW96" i="15" s="1"/>
  <c r="AX96" i="15" s="1"/>
  <c r="AY96" i="15" s="1"/>
  <c r="AH34" i="15"/>
  <c r="AK34" i="15" s="1"/>
  <c r="AV34" i="15" s="1"/>
  <c r="AW34" i="15" s="1"/>
  <c r="AX34" i="15" s="1"/>
  <c r="AY34" i="15" s="1"/>
  <c r="AH77" i="15"/>
  <c r="AK77" i="15" s="1"/>
  <c r="AV77" i="15" s="1"/>
  <c r="AW77" i="15" s="1"/>
  <c r="AX77" i="15" s="1"/>
  <c r="AY77" i="15" s="1"/>
  <c r="AH99" i="15"/>
  <c r="AK99" i="15" s="1"/>
  <c r="AV99" i="15" s="1"/>
  <c r="AW99" i="15" s="1"/>
  <c r="AX99" i="15" s="1"/>
  <c r="AH138" i="15"/>
  <c r="AK138" i="15" s="1"/>
  <c r="AV138" i="15" s="1"/>
  <c r="AW138" i="15" s="1"/>
  <c r="AX138" i="15" s="1"/>
  <c r="AY138" i="15" s="1"/>
  <c r="AH233" i="15"/>
  <c r="AK233" i="15" s="1"/>
  <c r="AV233" i="15" s="1"/>
  <c r="AW233" i="15" s="1"/>
  <c r="AX233" i="15" s="1"/>
  <c r="AH234" i="15"/>
  <c r="AK234" i="15" s="1"/>
  <c r="AV234" i="15" s="1"/>
  <c r="AW234" i="15" s="1"/>
  <c r="AX234" i="15" s="1"/>
  <c r="AH235" i="15"/>
  <c r="AK235" i="15" s="1"/>
  <c r="AV235" i="15" s="1"/>
  <c r="AW235" i="15" s="1"/>
  <c r="AX235" i="15" s="1"/>
  <c r="AH236" i="15"/>
  <c r="AK236" i="15" s="1"/>
  <c r="AV236" i="15" s="1"/>
  <c r="AW236" i="15" s="1"/>
  <c r="AX236" i="15" s="1"/>
  <c r="AY236" i="15" s="1"/>
  <c r="AK254" i="15"/>
  <c r="AV254" i="15" s="1"/>
  <c r="AW254" i="15" s="1"/>
  <c r="AX254" i="15" s="1"/>
  <c r="AY254" i="15" s="1"/>
  <c r="AH33" i="15"/>
  <c r="AK33" i="15" s="1"/>
  <c r="AV33" i="15" s="1"/>
  <c r="AW33" i="15" s="1"/>
  <c r="AX33" i="15" s="1"/>
  <c r="AY33" i="15" s="1"/>
  <c r="AH76" i="15"/>
  <c r="AK76" i="15" s="1"/>
  <c r="AV76" i="15" s="1"/>
  <c r="AH98" i="15"/>
  <c r="AK98" i="15" s="1"/>
  <c r="AV98" i="15" s="1"/>
  <c r="AW98" i="15" s="1"/>
  <c r="AX98" i="15" s="1"/>
  <c r="AH162" i="15"/>
  <c r="AK162" i="15" s="1"/>
  <c r="AV162" i="15" s="1"/>
  <c r="AW162" i="15" s="1"/>
  <c r="AX162" i="15" s="1"/>
  <c r="AY162" i="15" s="1"/>
  <c r="AH169" i="15"/>
  <c r="AK169" i="15" s="1"/>
  <c r="AV169" i="15" s="1"/>
  <c r="AW169" i="15" s="1"/>
  <c r="AX169" i="15" s="1"/>
  <c r="AY169" i="15" s="1"/>
  <c r="AH213" i="15"/>
  <c r="AK213" i="15" s="1"/>
  <c r="AV213" i="15" s="1"/>
  <c r="AW213" i="15" s="1"/>
  <c r="AX213" i="15" s="1"/>
  <c r="AY213" i="15" s="1"/>
  <c r="AH237" i="15"/>
  <c r="AH244" i="15"/>
  <c r="AK244" i="15" s="1"/>
  <c r="AV244" i="15" s="1"/>
  <c r="AW244" i="15" s="1"/>
  <c r="AX244" i="15" s="1"/>
  <c r="AY244" i="15" s="1"/>
  <c r="AH292" i="15"/>
  <c r="AH302" i="15"/>
  <c r="AK302" i="15" s="1"/>
  <c r="AV302" i="15" s="1"/>
  <c r="AW302" i="15" s="1"/>
  <c r="AX302" i="15" s="1"/>
  <c r="AY302" i="15" s="1"/>
  <c r="AK32" i="15"/>
  <c r="AV32" i="15" s="1"/>
  <c r="AW32" i="15" s="1"/>
  <c r="AX32" i="15" s="1"/>
  <c r="AY32" i="15" s="1"/>
  <c r="AH59" i="15"/>
  <c r="AK59" i="15" s="1"/>
  <c r="AV59" i="15" s="1"/>
  <c r="AW59" i="15" s="1"/>
  <c r="AX59" i="15" s="1"/>
  <c r="AY59" i="15" s="1"/>
  <c r="AH84" i="15"/>
  <c r="AH97" i="15"/>
  <c r="AK97" i="15" s="1"/>
  <c r="AV97" i="15" s="1"/>
  <c r="AW97" i="15" s="1"/>
  <c r="AX97" i="15" s="1"/>
  <c r="AY97" i="15" s="1"/>
  <c r="AH136" i="15"/>
  <c r="AH161" i="15"/>
  <c r="AK161" i="15" s="1"/>
  <c r="AV161" i="15" s="1"/>
  <c r="AW161" i="15" s="1"/>
  <c r="AX161" i="15" s="1"/>
  <c r="AY161" i="15" s="1"/>
  <c r="AH180" i="15"/>
  <c r="AK180" i="15" s="1"/>
  <c r="AV180" i="15" s="1"/>
  <c r="AH195" i="15"/>
  <c r="AK195" i="15" s="1"/>
  <c r="AV195" i="15" s="1"/>
  <c r="AK212" i="15"/>
  <c r="AV212" i="15" s="1"/>
  <c r="AW212" i="15" s="1"/>
  <c r="AX212" i="15" s="1"/>
  <c r="AY212" i="15" s="1"/>
  <c r="AH262" i="15"/>
  <c r="AK262" i="15" s="1"/>
  <c r="AV262" i="15" s="1"/>
  <c r="AW262" i="15" s="1"/>
  <c r="AX262" i="15" s="1"/>
  <c r="AY262" i="15" s="1"/>
  <c r="AH283" i="15"/>
  <c r="AK283" i="15" s="1"/>
  <c r="AV283" i="15" s="1"/>
  <c r="AW283" i="15" s="1"/>
  <c r="AX283" i="15" s="1"/>
  <c r="AY283" i="15" s="1"/>
  <c r="AH153" i="15"/>
  <c r="AK153" i="15" s="1"/>
  <c r="AV153" i="15" s="1"/>
  <c r="AW153" i="15" s="1"/>
  <c r="AX153" i="15" s="1"/>
  <c r="AY153" i="15" s="1"/>
  <c r="AH154" i="15"/>
  <c r="AK154" i="15" s="1"/>
  <c r="AV154" i="15" s="1"/>
  <c r="AW154" i="15" s="1"/>
  <c r="AX154" i="15" s="1"/>
  <c r="AY154" i="15" s="1"/>
  <c r="AH159" i="15"/>
  <c r="AK159" i="15" s="1"/>
  <c r="AV159" i="15" s="1"/>
  <c r="AW159" i="15" s="1"/>
  <c r="AX159" i="15" s="1"/>
  <c r="AH160" i="15"/>
  <c r="AK160" i="15" s="1"/>
  <c r="AV160" i="15" s="1"/>
  <c r="AW160" i="15" s="1"/>
  <c r="AX160" i="15" s="1"/>
  <c r="AK179" i="15"/>
  <c r="AV179" i="15" s="1"/>
  <c r="AW179" i="15" s="1"/>
  <c r="AX179" i="15" s="1"/>
  <c r="AY179" i="15" s="1"/>
  <c r="AH211" i="15"/>
  <c r="AK211" i="15" s="1"/>
  <c r="AV211" i="15" s="1"/>
  <c r="AH222" i="15"/>
  <c r="AK222" i="15" s="1"/>
  <c r="AV222" i="15" s="1"/>
  <c r="AW222" i="15" s="1"/>
  <c r="AX222" i="15" s="1"/>
  <c r="AY222" i="15" s="1"/>
  <c r="AH228" i="15"/>
  <c r="AK228" i="15" s="1"/>
  <c r="AV228" i="15" s="1"/>
  <c r="AW228" i="15" s="1"/>
  <c r="AX228" i="15" s="1"/>
  <c r="AY228" i="15" s="1"/>
  <c r="AH261" i="15"/>
  <c r="AK261" i="15" s="1"/>
  <c r="AV261" i="15" s="1"/>
  <c r="AW261" i="15" s="1"/>
  <c r="AX261" i="15" s="1"/>
  <c r="AY261" i="15" s="1"/>
  <c r="AH31" i="15"/>
  <c r="AK31" i="15" s="1"/>
  <c r="AV31" i="15" s="1"/>
  <c r="AH92" i="15"/>
  <c r="AK92" i="15" s="1"/>
  <c r="AV92" i="15" s="1"/>
  <c r="AW92" i="15" s="1"/>
  <c r="AX92" i="15" s="1"/>
  <c r="AY92" i="15" s="1"/>
  <c r="AH94" i="15"/>
  <c r="AK94" i="15" s="1"/>
  <c r="AV94" i="15" s="1"/>
  <c r="AW94" i="15" s="1"/>
  <c r="AX94" i="15" s="1"/>
  <c r="AY94" i="15" s="1"/>
  <c r="AH144" i="15"/>
  <c r="AH152" i="15"/>
  <c r="AK152" i="15" s="1"/>
  <c r="AV152" i="15" s="1"/>
  <c r="AW152" i="15" s="1"/>
  <c r="AX152" i="15" s="1"/>
  <c r="AY152" i="15" s="1"/>
  <c r="AH227" i="15"/>
  <c r="AK227" i="15" s="1"/>
  <c r="AV227" i="15" s="1"/>
  <c r="AW227" i="15" s="1"/>
  <c r="AX227" i="15" s="1"/>
  <c r="AY227" i="15" s="1"/>
  <c r="AH241" i="15"/>
  <c r="AK241" i="15" s="1"/>
  <c r="AV241" i="15" s="1"/>
  <c r="AH257" i="15"/>
  <c r="AK257" i="15" s="1"/>
  <c r="AV257" i="15" s="1"/>
  <c r="AW257" i="15" s="1"/>
  <c r="AX257" i="15" s="1"/>
  <c r="AY257" i="15" s="1"/>
  <c r="AH271" i="15"/>
  <c r="AK271" i="15" s="1"/>
  <c r="AV271" i="15" s="1"/>
  <c r="AH142" i="15"/>
  <c r="AK142" i="15" s="1"/>
  <c r="AV142" i="15" s="1"/>
  <c r="AW142" i="15" s="1"/>
  <c r="AX142" i="15" s="1"/>
  <c r="AY142" i="15" s="1"/>
  <c r="AH299" i="15"/>
  <c r="AK299" i="15" s="1"/>
  <c r="AV299" i="15" s="1"/>
  <c r="AW299" i="15" s="1"/>
  <c r="AX299" i="15" s="1"/>
  <c r="AY299" i="15" s="1"/>
  <c r="Z21" i="15"/>
  <c r="AA21" i="15" s="1"/>
  <c r="Z37" i="15"/>
  <c r="AA37" i="15" s="1"/>
  <c r="AH37" i="15" s="1"/>
  <c r="AK37" i="15" s="1"/>
  <c r="AV37" i="15" s="1"/>
  <c r="AW37" i="15" s="1"/>
  <c r="AX37" i="15" s="1"/>
  <c r="AY37" i="15" s="1"/>
  <c r="Z47" i="15"/>
  <c r="AA47" i="15" s="1"/>
  <c r="AH47" i="15" s="1"/>
  <c r="AK47" i="15" s="1"/>
  <c r="AV47" i="15" s="1"/>
  <c r="AW47" i="15" s="1"/>
  <c r="AX47" i="15" s="1"/>
  <c r="AY47" i="15" s="1"/>
  <c r="Z104" i="15"/>
  <c r="AA104" i="15" s="1"/>
  <c r="AH104" i="15" s="1"/>
  <c r="AK104" i="15" s="1"/>
  <c r="AV104" i="15" s="1"/>
  <c r="AW104" i="15" s="1"/>
  <c r="AX104" i="15" s="1"/>
  <c r="AY104" i="15" s="1"/>
  <c r="Z128" i="15"/>
  <c r="AA128" i="15" s="1"/>
  <c r="Z130" i="15"/>
  <c r="AA130" i="15" s="1"/>
  <c r="Z156" i="15"/>
  <c r="AA156" i="15" s="1"/>
  <c r="AH156" i="15" s="1"/>
  <c r="AK156" i="15" s="1"/>
  <c r="AV156" i="15" s="1"/>
  <c r="AW156" i="15" s="1"/>
  <c r="AX156" i="15" s="1"/>
  <c r="AY156" i="15" s="1"/>
  <c r="Z157" i="15"/>
  <c r="AA157" i="15" s="1"/>
  <c r="AH157" i="15" s="1"/>
  <c r="AK157" i="15" s="1"/>
  <c r="AV157" i="15" s="1"/>
  <c r="AW157" i="15" s="1"/>
  <c r="AX157" i="15" s="1"/>
  <c r="AY157" i="15" s="1"/>
  <c r="Z158" i="15"/>
  <c r="AA158" i="15" s="1"/>
  <c r="AH158" i="15" s="1"/>
  <c r="AK158" i="15" s="1"/>
  <c r="AV158" i="15" s="1"/>
  <c r="AW158" i="15" s="1"/>
  <c r="AX158" i="15" s="1"/>
  <c r="Z165" i="15"/>
  <c r="AA165" i="15" s="1"/>
  <c r="AH165" i="15" s="1"/>
  <c r="AK165" i="15" s="1"/>
  <c r="AV165" i="15" s="1"/>
  <c r="Z176" i="15"/>
  <c r="AA176" i="15" s="1"/>
  <c r="AH176" i="15" s="1"/>
  <c r="AK176" i="15" s="1"/>
  <c r="AV176" i="15" s="1"/>
  <c r="AW176" i="15" s="1"/>
  <c r="AX176" i="15" s="1"/>
  <c r="AY176" i="15" s="1"/>
  <c r="Z194" i="15"/>
  <c r="AA194" i="15" s="1"/>
  <c r="AH194" i="15" s="1"/>
  <c r="AK194" i="15" s="1"/>
  <c r="AV194" i="15" s="1"/>
  <c r="AW194" i="15" s="1"/>
  <c r="AX194" i="15" s="1"/>
  <c r="AY194" i="15" s="1"/>
  <c r="Z214" i="15"/>
  <c r="AA214" i="15" s="1"/>
  <c r="AH214" i="15" s="1"/>
  <c r="AK214" i="15" s="1"/>
  <c r="AV214" i="15" s="1"/>
  <c r="AW214" i="15" s="1"/>
  <c r="AX214" i="15" s="1"/>
  <c r="AY214" i="15" s="1"/>
  <c r="Z223" i="15"/>
  <c r="AA223" i="15" s="1"/>
  <c r="AH223" i="15" s="1"/>
  <c r="AK223" i="15" s="1"/>
  <c r="AV223" i="15" s="1"/>
  <c r="AW223" i="15" s="1"/>
  <c r="AX223" i="15" s="1"/>
  <c r="AY223" i="15" s="1"/>
  <c r="Z242" i="15"/>
  <c r="AA242" i="15" s="1"/>
  <c r="AH242" i="15" s="1"/>
  <c r="AK242" i="15" s="1"/>
  <c r="AV242" i="15" s="1"/>
  <c r="AW242" i="15" s="1"/>
  <c r="AX242" i="15" s="1"/>
  <c r="AY242" i="15" s="1"/>
  <c r="Z279" i="15"/>
  <c r="AA279" i="15" s="1"/>
  <c r="AH279" i="15" s="1"/>
  <c r="AK279" i="15" s="1"/>
  <c r="AV279" i="15" s="1"/>
  <c r="AW279" i="15" s="1"/>
  <c r="AX279" i="15" s="1"/>
  <c r="Z280" i="15"/>
  <c r="AA280" i="15" s="1"/>
  <c r="AH280" i="15" s="1"/>
  <c r="AK280" i="15" s="1"/>
  <c r="AV280" i="15" s="1"/>
  <c r="AW280" i="15" s="1"/>
  <c r="AX280" i="15" s="1"/>
  <c r="Z284" i="15"/>
  <c r="AA284" i="15" s="1"/>
  <c r="AH284" i="15" s="1"/>
  <c r="AK284" i="15" s="1"/>
  <c r="AV284" i="15" s="1"/>
  <c r="AW284" i="15" s="1"/>
  <c r="AX284" i="15" s="1"/>
  <c r="AY284" i="15" s="1"/>
  <c r="AH285" i="15"/>
  <c r="AK285" i="15" s="1"/>
  <c r="AV285" i="15" s="1"/>
  <c r="AH288" i="15"/>
  <c r="AK288" i="15" s="1"/>
  <c r="AV288" i="15" s="1"/>
  <c r="AW288" i="15" s="1"/>
  <c r="AX288" i="15" s="1"/>
  <c r="AY288" i="15" s="1"/>
  <c r="AK78" i="15"/>
  <c r="AV78" i="15" s="1"/>
  <c r="AW78" i="15" s="1"/>
  <c r="AX78" i="15" s="1"/>
  <c r="AY78" i="15" s="1"/>
  <c r="AK189" i="15"/>
  <c r="AV189" i="15" s="1"/>
  <c r="AW189" i="15" s="1"/>
  <c r="AX189" i="15" s="1"/>
  <c r="AK190" i="15"/>
  <c r="AV190" i="15" s="1"/>
  <c r="AW190" i="15" s="1"/>
  <c r="AX190" i="15" s="1"/>
  <c r="AH269" i="15"/>
  <c r="AK269" i="15" s="1"/>
  <c r="AV269" i="15" s="1"/>
  <c r="AW269" i="15" s="1"/>
  <c r="AX269" i="15" s="1"/>
  <c r="AY269" i="15" s="1"/>
  <c r="Z45" i="15"/>
  <c r="AA45" i="15" s="1"/>
  <c r="AH45" i="15" s="1"/>
  <c r="Z163" i="15"/>
  <c r="AA163" i="15" s="1"/>
  <c r="AH163" i="15" s="1"/>
  <c r="AK163" i="15" s="1"/>
  <c r="AV163" i="15" s="1"/>
  <c r="AW163" i="15" s="1"/>
  <c r="AX163" i="15" s="1"/>
  <c r="AY163" i="15" s="1"/>
  <c r="Z182" i="15"/>
  <c r="AA182" i="15" s="1"/>
  <c r="AH182" i="15" s="1"/>
  <c r="AK182" i="15" s="1"/>
  <c r="AV182" i="15" s="1"/>
  <c r="AW182" i="15" s="1"/>
  <c r="AX182" i="15" s="1"/>
  <c r="AY182" i="15" s="1"/>
  <c r="Z239" i="15"/>
  <c r="AA239" i="15" s="1"/>
  <c r="AH239" i="15" s="1"/>
  <c r="AK239" i="15" s="1"/>
  <c r="AV239" i="15" s="1"/>
  <c r="AW239" i="15" s="1"/>
  <c r="AX239" i="15" s="1"/>
  <c r="AY239" i="15" s="1"/>
  <c r="Z240" i="15"/>
  <c r="AA240" i="15" s="1"/>
  <c r="AH240" i="15" s="1"/>
  <c r="AK240" i="15" s="1"/>
  <c r="AV240" i="15" s="1"/>
  <c r="Z264" i="15"/>
  <c r="AA264" i="15" s="1"/>
  <c r="AH264" i="15" s="1"/>
  <c r="AK264" i="15" s="1"/>
  <c r="AV264" i="15" s="1"/>
  <c r="AW264" i="15" s="1"/>
  <c r="AX264" i="15" s="1"/>
  <c r="Z270" i="15"/>
  <c r="AA270" i="15" s="1"/>
  <c r="AH29" i="15"/>
  <c r="AK29" i="15" s="1"/>
  <c r="AV29" i="15" s="1"/>
  <c r="AW29" i="15" s="1"/>
  <c r="AX29" i="15" s="1"/>
  <c r="AY29" i="15" s="1"/>
  <c r="AH74" i="15"/>
  <c r="AK74" i="15" s="1"/>
  <c r="AV74" i="15" s="1"/>
  <c r="AW74" i="15" s="1"/>
  <c r="AX74" i="15" s="1"/>
  <c r="AY74" i="15" s="1"/>
  <c r="Z60" i="15"/>
  <c r="AA60" i="15" s="1"/>
  <c r="AH60" i="15" s="1"/>
  <c r="AK60" i="15" s="1"/>
  <c r="AV60" i="15" s="1"/>
  <c r="Z30" i="15"/>
  <c r="AA30" i="15" s="1"/>
  <c r="AH30" i="15" s="1"/>
  <c r="AK30" i="15" s="1"/>
  <c r="AV30" i="15" s="1"/>
  <c r="AW31" i="15" s="1"/>
  <c r="AX31" i="15" s="1"/>
  <c r="AY31" i="15" s="1"/>
  <c r="Z75" i="15"/>
  <c r="AA75" i="15" s="1"/>
  <c r="AH75" i="15" s="1"/>
  <c r="AK75" i="15" s="1"/>
  <c r="AV75" i="15" s="1"/>
  <c r="AW76" i="15" s="1"/>
  <c r="AX76" i="15" s="1"/>
  <c r="AY76" i="15" s="1"/>
  <c r="Z89" i="15"/>
  <c r="AA89" i="15" s="1"/>
  <c r="AH89" i="15" s="1"/>
  <c r="AK89" i="15" s="1"/>
  <c r="AV89" i="15" s="1"/>
  <c r="AW89" i="15" s="1"/>
  <c r="AX89" i="15" s="1"/>
  <c r="AY89" i="15" s="1"/>
  <c r="Z90" i="15"/>
  <c r="AA90" i="15" s="1"/>
  <c r="AH90" i="15" s="1"/>
  <c r="AK90" i="15" s="1"/>
  <c r="AV90" i="15" s="1"/>
  <c r="Z119" i="15"/>
  <c r="AA119" i="15" s="1"/>
  <c r="Z137" i="15"/>
  <c r="AA137" i="15" s="1"/>
  <c r="Z203" i="15"/>
  <c r="AA203" i="15" s="1"/>
  <c r="AH203" i="15" s="1"/>
  <c r="AK203" i="15" s="1"/>
  <c r="AV203" i="15" s="1"/>
  <c r="AW203" i="15" s="1"/>
  <c r="AX203" i="15" s="1"/>
  <c r="Z205" i="15"/>
  <c r="AA205" i="15" s="1"/>
  <c r="AH205" i="15" s="1"/>
  <c r="AK205" i="15" s="1"/>
  <c r="AV205" i="15" s="1"/>
  <c r="AW205" i="15" s="1"/>
  <c r="AX205" i="15" s="1"/>
  <c r="Z232" i="15"/>
  <c r="AA232" i="15" s="1"/>
  <c r="AH232" i="15" s="1"/>
  <c r="Z238" i="15"/>
  <c r="AA238" i="15" s="1"/>
  <c r="AH238" i="15" s="1"/>
  <c r="AK238" i="15" s="1"/>
  <c r="AV238" i="15" s="1"/>
  <c r="AW238" i="15" s="1"/>
  <c r="AX238" i="15" s="1"/>
  <c r="AY238" i="15" s="1"/>
  <c r="Z293" i="15"/>
  <c r="AA293" i="15" s="1"/>
  <c r="AH293" i="15" s="1"/>
  <c r="AK293" i="15" s="1"/>
  <c r="AV293" i="15" s="1"/>
  <c r="AW293" i="15" s="1"/>
  <c r="AX293" i="15" s="1"/>
  <c r="Z295" i="15"/>
  <c r="AA295" i="15" s="1"/>
  <c r="AH295" i="15" s="1"/>
  <c r="AK295" i="15" s="1"/>
  <c r="AV295" i="15" s="1"/>
  <c r="AW295" i="15" s="1"/>
  <c r="AX295" i="15" s="1"/>
  <c r="AH282" i="15"/>
  <c r="AK282" i="15" s="1"/>
  <c r="AV282" i="15" s="1"/>
  <c r="AW282" i="15" s="1"/>
  <c r="AX282" i="15" s="1"/>
  <c r="AY282" i="15" s="1"/>
  <c r="Z25" i="15"/>
  <c r="AA25" i="15" s="1"/>
  <c r="AH25" i="15" s="1"/>
  <c r="AK25" i="15" s="1"/>
  <c r="AV25" i="15" s="1"/>
  <c r="AW25" i="15" s="1"/>
  <c r="AX25" i="15" s="1"/>
  <c r="Z52" i="15"/>
  <c r="AA52" i="15" s="1"/>
  <c r="AH52" i="15" s="1"/>
  <c r="AK52" i="15" s="1"/>
  <c r="AV52" i="15" s="1"/>
  <c r="AW52" i="15" s="1"/>
  <c r="AX52" i="15" s="1"/>
  <c r="AY52" i="15" s="1"/>
  <c r="Z53" i="15"/>
  <c r="AA53" i="15" s="1"/>
  <c r="AH53" i="15" s="1"/>
  <c r="AK53" i="15" s="1"/>
  <c r="AV53" i="15" s="1"/>
  <c r="AW53" i="15" s="1"/>
  <c r="AX53" i="15" s="1"/>
  <c r="Z83" i="15"/>
  <c r="AA83" i="15" s="1"/>
  <c r="Z85" i="15"/>
  <c r="AA85" i="15" s="1"/>
  <c r="Z201" i="15"/>
  <c r="AA201" i="15" s="1"/>
  <c r="Z248" i="15"/>
  <c r="AA248" i="15" s="1"/>
  <c r="Z250" i="15"/>
  <c r="AA250" i="15" s="1"/>
  <c r="AH250" i="15" s="1"/>
  <c r="AK250" i="15" s="1"/>
  <c r="AV250" i="15" s="1"/>
  <c r="AW250" i="15" s="1"/>
  <c r="AX250" i="15" s="1"/>
  <c r="Z276" i="15"/>
  <c r="AA276" i="15" s="1"/>
  <c r="AH276" i="15" s="1"/>
  <c r="AK276" i="15" s="1"/>
  <c r="AV276" i="15" s="1"/>
  <c r="AW276" i="15" s="1"/>
  <c r="AX276" i="15" s="1"/>
  <c r="AY276" i="15" s="1"/>
  <c r="Z291" i="15"/>
  <c r="AA291" i="15" s="1"/>
  <c r="AH291" i="15" s="1"/>
  <c r="AK291" i="15" s="1"/>
  <c r="AV291" i="15" s="1"/>
  <c r="AW291" i="15" s="1"/>
  <c r="AX291" i="15" s="1"/>
  <c r="AY291" i="15" s="1"/>
  <c r="Z24" i="15"/>
  <c r="AA24" i="15" s="1"/>
  <c r="AH24" i="15" s="1"/>
  <c r="AK24" i="15" s="1"/>
  <c r="AV24" i="15" s="1"/>
  <c r="AW24" i="15" s="1"/>
  <c r="AX24" i="15" s="1"/>
  <c r="Z40" i="15"/>
  <c r="AA40" i="15" s="1"/>
  <c r="Z23" i="15"/>
  <c r="AA23" i="15" s="1"/>
  <c r="Z39" i="15"/>
  <c r="AA39" i="15" s="1"/>
  <c r="Z51" i="15"/>
  <c r="AA51" i="15" s="1"/>
  <c r="Z62" i="15"/>
  <c r="AA62" i="15" s="1"/>
  <c r="Z82" i="15"/>
  <c r="AA82" i="15" s="1"/>
  <c r="Z134" i="15"/>
  <c r="AA134" i="15" s="1"/>
  <c r="AH134" i="15" s="1"/>
  <c r="AK134" i="15" s="1"/>
  <c r="AV134" i="15" s="1"/>
  <c r="AW134" i="15" s="1"/>
  <c r="AX134" i="15" s="1"/>
  <c r="AY134" i="15" s="1"/>
  <c r="Z135" i="15"/>
  <c r="AA135" i="15" s="1"/>
  <c r="AH135" i="15" s="1"/>
  <c r="AK135" i="15" s="1"/>
  <c r="AV135" i="15" s="1"/>
  <c r="Z216" i="15"/>
  <c r="AA216" i="15" s="1"/>
  <c r="AH216" i="15" s="1"/>
  <c r="AK216" i="15" s="1"/>
  <c r="AV216" i="15" s="1"/>
  <c r="AW216" i="15" s="1"/>
  <c r="AX216" i="15" s="1"/>
  <c r="AY216" i="15" s="1"/>
  <c r="Z217" i="15"/>
  <c r="AA217" i="15" s="1"/>
  <c r="AH217" i="15" s="1"/>
  <c r="AK217" i="15" s="1"/>
  <c r="AV217" i="15" s="1"/>
  <c r="AW217" i="15" s="1"/>
  <c r="AX217" i="15" s="1"/>
  <c r="AY217" i="15" s="1"/>
  <c r="Z218" i="15"/>
  <c r="AA218" i="15" s="1"/>
  <c r="Z219" i="15"/>
  <c r="AA219" i="15" s="1"/>
  <c r="Z247" i="15"/>
  <c r="AA247" i="15" s="1"/>
  <c r="Z253" i="15"/>
  <c r="AA253" i="15" s="1"/>
  <c r="Z277" i="15"/>
  <c r="AA277" i="15" s="1"/>
  <c r="Z286" i="15"/>
  <c r="AA286" i="15" s="1"/>
  <c r="Z287" i="15"/>
  <c r="AA287" i="15" s="1"/>
  <c r="Z22" i="15"/>
  <c r="AA22" i="15" s="1"/>
  <c r="AH22" i="15" s="1"/>
  <c r="AK22" i="15" s="1"/>
  <c r="AV22" i="15" s="1"/>
  <c r="AW22" i="15" s="1"/>
  <c r="AX22" i="15" s="1"/>
  <c r="AY22" i="15" s="1"/>
  <c r="Z38" i="15"/>
  <c r="AA38" i="15" s="1"/>
  <c r="AH38" i="15" s="1"/>
  <c r="AK38" i="15" s="1"/>
  <c r="AV38" i="15" s="1"/>
  <c r="AW38" i="15" s="1"/>
  <c r="AX38" i="15" s="1"/>
  <c r="Z81" i="15"/>
  <c r="AA81" i="15" s="1"/>
  <c r="AH81" i="15" s="1"/>
  <c r="AK81" i="15" s="1"/>
  <c r="AV81" i="15" s="1"/>
  <c r="AW81" i="15" s="1"/>
  <c r="AX81" i="15" s="1"/>
  <c r="AY81" i="15" s="1"/>
  <c r="Z129" i="15"/>
  <c r="AA129" i="15" s="1"/>
  <c r="Z133" i="15"/>
  <c r="AA133" i="15" s="1"/>
  <c r="AH133" i="15" s="1"/>
  <c r="AK133" i="15" s="1"/>
  <c r="AV133" i="15" s="1"/>
  <c r="AW133" i="15" s="1"/>
  <c r="AX133" i="15" s="1"/>
  <c r="AY133" i="15" s="1"/>
  <c r="Z167" i="15"/>
  <c r="AA167" i="15" s="1"/>
  <c r="Z171" i="15"/>
  <c r="AA171" i="15" s="1"/>
  <c r="AH171" i="15" s="1"/>
  <c r="AK171" i="15" s="1"/>
  <c r="AV171" i="15" s="1"/>
  <c r="AW171" i="15" s="1"/>
  <c r="AX171" i="15" s="1"/>
  <c r="AY171" i="15" s="1"/>
  <c r="Z172" i="15"/>
  <c r="AA172" i="15" s="1"/>
  <c r="AH172" i="15" s="1"/>
  <c r="AK172" i="15" s="1"/>
  <c r="AV172" i="15" s="1"/>
  <c r="AW172" i="15" s="1"/>
  <c r="AX172" i="15" s="1"/>
  <c r="AY172" i="15" s="1"/>
  <c r="Z173" i="15"/>
  <c r="AA173" i="15" s="1"/>
  <c r="AH173" i="15" s="1"/>
  <c r="AK173" i="15" s="1"/>
  <c r="AV173" i="15" s="1"/>
  <c r="AW173" i="15" s="1"/>
  <c r="AX173" i="15" s="1"/>
  <c r="Z174" i="15"/>
  <c r="AA174" i="15" s="1"/>
  <c r="Z177" i="15"/>
  <c r="AA177" i="15" s="1"/>
  <c r="Z220" i="15"/>
  <c r="AA220" i="15" s="1"/>
  <c r="AH220" i="15" s="1"/>
  <c r="AK220" i="15" s="1"/>
  <c r="AV220" i="15" s="1"/>
  <c r="AW220" i="15" s="1"/>
  <c r="AX220" i="15" s="1"/>
  <c r="Z224" i="15"/>
  <c r="AA224" i="15" s="1"/>
  <c r="AH224" i="15" s="1"/>
  <c r="AK224" i="15" s="1"/>
  <c r="AV224" i="15" s="1"/>
  <c r="AW224" i="15" s="1"/>
  <c r="AX224" i="15" s="1"/>
  <c r="AY224" i="15" s="1"/>
  <c r="Z246" i="15"/>
  <c r="AA246" i="15" s="1"/>
  <c r="Z272" i="15"/>
  <c r="AA272" i="15" s="1"/>
  <c r="AH272" i="15" s="1"/>
  <c r="AK272" i="15" s="1"/>
  <c r="AV272" i="15" s="1"/>
  <c r="AW272" i="15" s="1"/>
  <c r="AX272" i="15" s="1"/>
  <c r="AY272" i="15" s="1"/>
  <c r="Z278" i="15"/>
  <c r="AA278" i="15" s="1"/>
  <c r="AH91" i="15"/>
  <c r="AK91" i="15" s="1"/>
  <c r="AV91" i="15" s="1"/>
  <c r="AH101" i="15"/>
  <c r="AH102" i="15"/>
  <c r="AH121" i="15"/>
  <c r="AK121" i="15" s="1"/>
  <c r="AV121" i="15" s="1"/>
  <c r="AH122" i="15"/>
  <c r="AK122" i="15" s="1"/>
  <c r="AV122" i="15" s="1"/>
  <c r="AW122" i="15" s="1"/>
  <c r="AX122" i="15" s="1"/>
  <c r="AY122" i="15" s="1"/>
  <c r="AH123" i="15"/>
  <c r="AK123" i="15" s="1"/>
  <c r="AV123" i="15" s="1"/>
  <c r="AW123" i="15" s="1"/>
  <c r="AX123" i="15" s="1"/>
  <c r="AY123" i="15" s="1"/>
  <c r="AH124" i="15"/>
  <c r="AK124" i="15" s="1"/>
  <c r="AV124" i="15" s="1"/>
  <c r="AW124" i="15" s="1"/>
  <c r="AX124" i="15" s="1"/>
  <c r="AY124" i="15" s="1"/>
  <c r="AH151" i="15"/>
  <c r="AK151" i="15" s="1"/>
  <c r="AV151" i="15" s="1"/>
  <c r="AH181" i="15"/>
  <c r="AK181" i="15" s="1"/>
  <c r="AV181" i="15" s="1"/>
  <c r="AW181" i="15" s="1"/>
  <c r="AX181" i="15" s="1"/>
  <c r="AY181" i="15" s="1"/>
  <c r="AH183" i="15"/>
  <c r="AK183" i="15" s="1"/>
  <c r="AV183" i="15" s="1"/>
  <c r="AW183" i="15" s="1"/>
  <c r="AX183" i="15" s="1"/>
  <c r="AY183" i="15" s="1"/>
  <c r="AH184" i="15"/>
  <c r="AK184" i="15" s="1"/>
  <c r="AV184" i="15" s="1"/>
  <c r="AW184" i="15" s="1"/>
  <c r="AX184" i="15" s="1"/>
  <c r="AY184" i="15" s="1"/>
  <c r="AH186" i="15"/>
  <c r="AK186" i="15" s="1"/>
  <c r="AV186" i="15" s="1"/>
  <c r="AW186" i="15" s="1"/>
  <c r="AX186" i="15" s="1"/>
  <c r="AY186" i="15" s="1"/>
  <c r="AH188" i="15"/>
  <c r="AK188" i="15" s="1"/>
  <c r="AV188" i="15" s="1"/>
  <c r="AW188" i="15" s="1"/>
  <c r="AX188" i="15" s="1"/>
  <c r="AY190" i="15" s="1"/>
  <c r="AH191" i="15"/>
  <c r="AK191" i="15" s="1"/>
  <c r="AV191" i="15" s="1"/>
  <c r="AW191" i="15" s="1"/>
  <c r="AX191" i="15" s="1"/>
  <c r="AY191" i="15" s="1"/>
  <c r="AH192" i="15"/>
  <c r="AK192" i="15" s="1"/>
  <c r="AV192" i="15" s="1"/>
  <c r="AW192" i="15" s="1"/>
  <c r="AX192" i="15" s="1"/>
  <c r="AY192" i="15" s="1"/>
  <c r="AH256" i="15"/>
  <c r="AK256" i="15" s="1"/>
  <c r="AV256" i="15" s="1"/>
  <c r="AH263" i="15"/>
  <c r="AK263" i="15" s="1"/>
  <c r="AV263" i="15" s="1"/>
  <c r="AW263" i="15" s="1"/>
  <c r="AX263" i="15" s="1"/>
  <c r="AH270" i="15"/>
  <c r="AK270" i="15" s="1"/>
  <c r="AV270" i="15" s="1"/>
  <c r="AH209" i="15"/>
  <c r="AK209" i="15" s="1"/>
  <c r="AV209" i="15" s="1"/>
  <c r="AW209" i="15" s="1"/>
  <c r="AX209" i="15" s="1"/>
  <c r="AY209" i="15" s="1"/>
  <c r="AH210" i="15"/>
  <c r="AK210" i="15" s="1"/>
  <c r="AV210" i="15" s="1"/>
  <c r="AH268" i="15"/>
  <c r="AK268" i="15" s="1"/>
  <c r="AV268" i="15" s="1"/>
  <c r="AW268" i="15" s="1"/>
  <c r="AX268" i="15" s="1"/>
  <c r="AY268" i="15" s="1"/>
  <c r="AK45" i="15"/>
  <c r="AV45" i="15" s="1"/>
  <c r="AH44" i="15"/>
  <c r="AK44" i="15" s="1"/>
  <c r="AV44" i="15" s="1"/>
  <c r="AW44" i="15" s="1"/>
  <c r="AX44" i="15" s="1"/>
  <c r="AY44" i="15" s="1"/>
  <c r="AH119" i="15"/>
  <c r="AK119" i="15" s="1"/>
  <c r="AV119" i="15" s="1"/>
  <c r="AW119" i="15" s="1"/>
  <c r="AX119" i="15" s="1"/>
  <c r="AY119" i="15" s="1"/>
  <c r="AH137" i="15"/>
  <c r="AK137" i="15" s="1"/>
  <c r="AV137" i="15" s="1"/>
  <c r="AW137" i="15" s="1"/>
  <c r="AX137" i="15" s="1"/>
  <c r="AY137" i="15" s="1"/>
  <c r="AK141" i="15"/>
  <c r="AV141" i="15" s="1"/>
  <c r="AW141" i="15" s="1"/>
  <c r="AX141" i="15" s="1"/>
  <c r="AY141" i="15" s="1"/>
  <c r="AK54" i="15"/>
  <c r="AV54" i="15" s="1"/>
  <c r="AW54" i="15" s="1"/>
  <c r="AX54" i="15" s="1"/>
  <c r="AK84" i="15"/>
  <c r="AV84" i="15" s="1"/>
  <c r="AW84" i="15" s="1"/>
  <c r="AX84" i="15" s="1"/>
  <c r="AK136" i="15"/>
  <c r="AV136" i="15" s="1"/>
  <c r="AK144" i="15"/>
  <c r="AV144" i="15" s="1"/>
  <c r="AW144" i="15" s="1"/>
  <c r="AX144" i="15" s="1"/>
  <c r="AH26" i="15"/>
  <c r="AH27" i="15"/>
  <c r="AH63" i="15"/>
  <c r="AK63" i="15" s="1"/>
  <c r="AV63" i="15" s="1"/>
  <c r="AW63" i="15" s="1"/>
  <c r="AX63" i="15" s="1"/>
  <c r="AY63" i="15" s="1"/>
  <c r="AH64" i="15"/>
  <c r="AK64" i="15" s="1"/>
  <c r="AV64" i="15" s="1"/>
  <c r="AW64" i="15" s="1"/>
  <c r="AX64" i="15" s="1"/>
  <c r="AY64" i="15" s="1"/>
  <c r="AH83" i="15"/>
  <c r="AH85" i="15"/>
  <c r="AK85" i="15" s="1"/>
  <c r="AV85" i="15" s="1"/>
  <c r="AW85" i="15" s="1"/>
  <c r="AX85" i="15" s="1"/>
  <c r="AH86" i="15"/>
  <c r="AH87" i="15"/>
  <c r="AK87" i="15" s="1"/>
  <c r="AV87" i="15" s="1"/>
  <c r="AW87" i="15" s="1"/>
  <c r="AX87" i="15" s="1"/>
  <c r="AY87" i="15" s="1"/>
  <c r="AH114" i="15"/>
  <c r="AK114" i="15" s="1"/>
  <c r="AV114" i="15" s="1"/>
  <c r="AW114" i="15" s="1"/>
  <c r="AX114" i="15" s="1"/>
  <c r="AH118" i="15"/>
  <c r="AK118" i="15" s="1"/>
  <c r="AV118" i="15" s="1"/>
  <c r="AW118" i="15" s="1"/>
  <c r="AX118" i="15" s="1"/>
  <c r="AY118" i="15" s="1"/>
  <c r="AH148" i="15"/>
  <c r="AK148" i="15" s="1"/>
  <c r="AV148" i="15" s="1"/>
  <c r="AW148" i="15" s="1"/>
  <c r="AX148" i="15" s="1"/>
  <c r="AY148" i="15" s="1"/>
  <c r="AH226" i="15"/>
  <c r="AK226" i="15" s="1"/>
  <c r="AV226" i="15" s="1"/>
  <c r="AH229" i="15"/>
  <c r="AK229" i="15" s="1"/>
  <c r="AV229" i="15" s="1"/>
  <c r="AW229" i="15" s="1"/>
  <c r="AX229" i="15" s="1"/>
  <c r="AY229" i="15" s="1"/>
  <c r="AK88" i="15"/>
  <c r="AV88" i="15" s="1"/>
  <c r="AW88" i="15" s="1"/>
  <c r="AX88" i="15" s="1"/>
  <c r="AY88" i="15" s="1"/>
  <c r="AH39" i="15"/>
  <c r="AK39" i="15" s="1"/>
  <c r="AV39" i="15" s="1"/>
  <c r="AW39" i="15" s="1"/>
  <c r="AX39" i="15" s="1"/>
  <c r="AH51" i="15"/>
  <c r="AK51" i="15" s="1"/>
  <c r="AV51" i="15" s="1"/>
  <c r="AW51" i="15" s="1"/>
  <c r="AX51" i="15" s="1"/>
  <c r="AY51" i="15" s="1"/>
  <c r="AH62" i="15"/>
  <c r="AK62" i="15" s="1"/>
  <c r="AV62" i="15" s="1"/>
  <c r="AW62" i="15" s="1"/>
  <c r="AX62" i="15" s="1"/>
  <c r="AY62" i="15" s="1"/>
  <c r="AH106" i="15"/>
  <c r="AK106" i="15" s="1"/>
  <c r="AV106" i="15" s="1"/>
  <c r="AH107" i="15"/>
  <c r="AK107" i="15" s="1"/>
  <c r="AV107" i="15" s="1"/>
  <c r="AW107" i="15" s="1"/>
  <c r="AX107" i="15" s="1"/>
  <c r="AY107" i="15" s="1"/>
  <c r="AH108" i="15"/>
  <c r="AK108" i="15" s="1"/>
  <c r="AV108" i="15" s="1"/>
  <c r="AW108" i="15" s="1"/>
  <c r="AX108" i="15" s="1"/>
  <c r="AY108" i="15" s="1"/>
  <c r="AH109" i="15"/>
  <c r="AK109" i="15" s="1"/>
  <c r="AV109" i="15" s="1"/>
  <c r="AW109" i="15" s="1"/>
  <c r="AX109" i="15" s="1"/>
  <c r="AY109" i="15" s="1"/>
  <c r="AH111" i="15"/>
  <c r="AK111" i="15" s="1"/>
  <c r="AV111" i="15" s="1"/>
  <c r="AW111" i="15" s="1"/>
  <c r="AX111" i="15" s="1"/>
  <c r="AY111" i="15" s="1"/>
  <c r="AH112" i="15"/>
  <c r="AK112" i="15" s="1"/>
  <c r="AV112" i="15" s="1"/>
  <c r="AW112" i="15" s="1"/>
  <c r="AX112" i="15" s="1"/>
  <c r="AY112" i="15" s="1"/>
  <c r="AH113" i="15"/>
  <c r="AK113" i="15" s="1"/>
  <c r="AV113" i="15" s="1"/>
  <c r="AW113" i="15" s="1"/>
  <c r="AX113" i="15" s="1"/>
  <c r="AH117" i="15"/>
  <c r="AK117" i="15" s="1"/>
  <c r="AV117" i="15" s="1"/>
  <c r="AW117" i="15" s="1"/>
  <c r="AX117" i="15" s="1"/>
  <c r="AY117" i="15" s="1"/>
  <c r="AH218" i="15"/>
  <c r="AK218" i="15" s="1"/>
  <c r="AV218" i="15" s="1"/>
  <c r="AW218" i="15" s="1"/>
  <c r="AX218" i="15" s="1"/>
  <c r="AH219" i="15"/>
  <c r="AK219" i="15" s="1"/>
  <c r="AV219" i="15" s="1"/>
  <c r="AW219" i="15" s="1"/>
  <c r="AX219" i="15" s="1"/>
  <c r="AH273" i="15"/>
  <c r="AK273" i="15" s="1"/>
  <c r="AV273" i="15" s="1"/>
  <c r="AW273" i="15" s="1"/>
  <c r="AX273" i="15" s="1"/>
  <c r="AY273" i="15" s="1"/>
  <c r="AH274" i="15"/>
  <c r="AK274" i="15" s="1"/>
  <c r="AV274" i="15" s="1"/>
  <c r="AW274" i="15" s="1"/>
  <c r="AX274" i="15" s="1"/>
  <c r="AY274" i="15" s="1"/>
  <c r="AH277" i="15"/>
  <c r="AK277" i="15" s="1"/>
  <c r="AV277" i="15" s="1"/>
  <c r="AW277" i="15" s="1"/>
  <c r="AX277" i="15" s="1"/>
  <c r="AY277" i="15" s="1"/>
  <c r="AH286" i="15"/>
  <c r="AK286" i="15" s="1"/>
  <c r="AV286" i="15" s="1"/>
  <c r="AH287" i="15"/>
  <c r="AK287" i="15" s="1"/>
  <c r="AV287" i="15" s="1"/>
  <c r="AW287" i="15" s="1"/>
  <c r="AX287" i="15" s="1"/>
  <c r="AY287" i="15" s="1"/>
  <c r="AH129" i="15"/>
  <c r="AK129" i="15" s="1"/>
  <c r="AV129" i="15" s="1"/>
  <c r="AW129" i="15" s="1"/>
  <c r="AX129" i="15" s="1"/>
  <c r="AH166" i="15"/>
  <c r="AK166" i="15" s="1"/>
  <c r="AV166" i="15" s="1"/>
  <c r="AH167" i="15"/>
  <c r="AK167" i="15" s="1"/>
  <c r="AV167" i="15" s="1"/>
  <c r="AW167" i="15" s="1"/>
  <c r="AX167" i="15" s="1"/>
  <c r="AY167" i="15" s="1"/>
  <c r="AH168" i="15"/>
  <c r="AK168" i="15" s="1"/>
  <c r="AV168" i="15" s="1"/>
  <c r="AW168" i="15" s="1"/>
  <c r="AX168" i="15" s="1"/>
  <c r="AY168" i="15" s="1"/>
  <c r="AH177" i="15"/>
  <c r="AK177" i="15" s="1"/>
  <c r="AV177" i="15" s="1"/>
  <c r="AW177" i="15" s="1"/>
  <c r="AX177" i="15" s="1"/>
  <c r="AY177" i="15" s="1"/>
  <c r="AH221" i="15"/>
  <c r="AK221" i="15" s="1"/>
  <c r="AV221" i="15" s="1"/>
  <c r="AW221" i="15" s="1"/>
  <c r="AX221" i="15" s="1"/>
  <c r="AY221" i="15" s="1"/>
  <c r="AH225" i="15"/>
  <c r="AK225" i="15" s="1"/>
  <c r="AV225" i="15" s="1"/>
  <c r="AH243" i="15"/>
  <c r="AK243" i="15" s="1"/>
  <c r="AV243" i="15" s="1"/>
  <c r="AW243" i="15" s="1"/>
  <c r="AX243" i="15" s="1"/>
  <c r="AY243" i="15" s="1"/>
  <c r="AH278" i="15"/>
  <c r="AK278" i="15" s="1"/>
  <c r="AV278" i="15" s="1"/>
  <c r="AW278" i="15" s="1"/>
  <c r="AX278" i="15" s="1"/>
  <c r="AH281" i="15"/>
  <c r="AK281" i="15" s="1"/>
  <c r="AV281" i="15" s="1"/>
  <c r="AW281" i="15" s="1"/>
  <c r="AX281" i="15" s="1"/>
  <c r="AY281" i="15" s="1"/>
  <c r="AH301" i="15"/>
  <c r="AK301" i="15" s="1"/>
  <c r="AV301" i="15" s="1"/>
  <c r="AK292" i="15"/>
  <c r="AV292" i="15" s="1"/>
  <c r="AW292" i="15" s="1"/>
  <c r="AX292" i="15" s="1"/>
  <c r="AY292" i="15" s="1"/>
  <c r="AK297" i="15"/>
  <c r="AV297" i="15" s="1"/>
  <c r="AW297" i="15" s="1"/>
  <c r="AX297" i="15" s="1"/>
  <c r="AY297" i="15" s="1"/>
  <c r="AH265" i="15"/>
  <c r="AK265" i="15" s="1"/>
  <c r="AV265" i="15" s="1"/>
  <c r="AW265" i="15" s="1"/>
  <c r="AX265" i="15" s="1"/>
  <c r="AH267" i="15"/>
  <c r="AK267" i="15" s="1"/>
  <c r="AV267" i="15" s="1"/>
  <c r="AW267" i="15" s="1"/>
  <c r="AX267" i="15" s="1"/>
  <c r="AY267" i="15" s="1"/>
  <c r="AH258" i="15"/>
  <c r="AK258" i="15" s="1"/>
  <c r="AV258" i="15" s="1"/>
  <c r="AW258" i="15" s="1"/>
  <c r="AX258" i="15" s="1"/>
  <c r="AY258" i="15" s="1"/>
  <c r="AH259" i="15"/>
  <c r="AK259" i="15" s="1"/>
  <c r="AV259" i="15" s="1"/>
  <c r="AW259" i="15" s="1"/>
  <c r="AX259" i="15" s="1"/>
  <c r="AY259" i="15" s="1"/>
  <c r="AW256" i="15"/>
  <c r="AX256" i="15" s="1"/>
  <c r="AY256" i="15" s="1"/>
  <c r="AH248" i="15"/>
  <c r="AK248" i="15" s="1"/>
  <c r="AV248" i="15" s="1"/>
  <c r="AW248" i="15" s="1"/>
  <c r="AX248" i="15" s="1"/>
  <c r="AH249" i="15"/>
  <c r="AK249" i="15" s="1"/>
  <c r="AV249" i="15" s="1"/>
  <c r="AW249" i="15" s="1"/>
  <c r="AX249" i="15" s="1"/>
  <c r="AH251" i="15"/>
  <c r="AK251" i="15" s="1"/>
  <c r="AV251" i="15" s="1"/>
  <c r="AW251" i="15" s="1"/>
  <c r="AX251" i="15" s="1"/>
  <c r="AY251" i="15" s="1"/>
  <c r="AH247" i="15"/>
  <c r="AK247" i="15" s="1"/>
  <c r="AV247" i="15" s="1"/>
  <c r="AW247" i="15" s="1"/>
  <c r="AX247" i="15" s="1"/>
  <c r="AY247" i="15" s="1"/>
  <c r="AH252" i="15"/>
  <c r="AK252" i="15" s="1"/>
  <c r="AV252" i="15" s="1"/>
  <c r="AW252" i="15" s="1"/>
  <c r="AX252" i="15" s="1"/>
  <c r="AY252" i="15" s="1"/>
  <c r="AH253" i="15"/>
  <c r="AK253" i="15" s="1"/>
  <c r="AV253" i="15" s="1"/>
  <c r="AW253" i="15" s="1"/>
  <c r="AX253" i="15" s="1"/>
  <c r="AY253" i="15" s="1"/>
  <c r="AH246" i="15"/>
  <c r="AK246" i="15" s="1"/>
  <c r="AV246" i="15" s="1"/>
  <c r="AW246" i="15" s="1"/>
  <c r="AX246" i="15" s="1"/>
  <c r="AY246" i="15" s="1"/>
  <c r="AK232" i="15"/>
  <c r="AV232" i="15" s="1"/>
  <c r="AW232" i="15" s="1"/>
  <c r="AX232" i="15" s="1"/>
  <c r="AY232" i="15" s="1"/>
  <c r="AK237" i="15"/>
  <c r="AV237" i="15" s="1"/>
  <c r="AW237" i="15" s="1"/>
  <c r="AX237" i="15" s="1"/>
  <c r="AY237" i="15" s="1"/>
  <c r="AH231" i="15"/>
  <c r="AK231" i="15" s="1"/>
  <c r="AV231" i="15" s="1"/>
  <c r="AW231" i="15" s="1"/>
  <c r="AX231" i="15" s="1"/>
  <c r="AY231" i="15" s="1"/>
  <c r="AH204" i="15"/>
  <c r="AK204" i="15" s="1"/>
  <c r="AV204" i="15" s="1"/>
  <c r="AW204" i="15" s="1"/>
  <c r="AX204" i="15" s="1"/>
  <c r="AH206" i="15"/>
  <c r="AK206" i="15" s="1"/>
  <c r="AV206" i="15" s="1"/>
  <c r="AW206" i="15" s="1"/>
  <c r="AX206" i="15" s="1"/>
  <c r="AY206" i="15" s="1"/>
  <c r="AH202" i="15"/>
  <c r="AK202" i="15" s="1"/>
  <c r="AV202" i="15" s="1"/>
  <c r="AW202" i="15" s="1"/>
  <c r="AX202" i="15" s="1"/>
  <c r="AY202" i="15" s="1"/>
  <c r="AH207" i="15"/>
  <c r="AK207" i="15" s="1"/>
  <c r="AV207" i="15" s="1"/>
  <c r="AW207" i="15" s="1"/>
  <c r="AX207" i="15" s="1"/>
  <c r="AY207" i="15" s="1"/>
  <c r="AH208" i="15"/>
  <c r="AK208" i="15" s="1"/>
  <c r="AV208" i="15" s="1"/>
  <c r="AW208" i="15" s="1"/>
  <c r="AX208" i="15" s="1"/>
  <c r="AY208" i="15" s="1"/>
  <c r="AH201" i="15"/>
  <c r="AK201" i="15" s="1"/>
  <c r="AV201" i="15" s="1"/>
  <c r="AW201" i="15" s="1"/>
  <c r="AX201" i="15" s="1"/>
  <c r="AY201" i="15" s="1"/>
  <c r="AH197" i="15"/>
  <c r="AK197" i="15" s="1"/>
  <c r="AV197" i="15" s="1"/>
  <c r="AW197" i="15" s="1"/>
  <c r="AX197" i="15" s="1"/>
  <c r="AY197" i="15" s="1"/>
  <c r="AH198" i="15"/>
  <c r="AK198" i="15" s="1"/>
  <c r="AV198" i="15" s="1"/>
  <c r="AW198" i="15" s="1"/>
  <c r="AX198" i="15" s="1"/>
  <c r="AY198" i="15" s="1"/>
  <c r="AH199" i="15"/>
  <c r="AK199" i="15" s="1"/>
  <c r="AV199" i="15" s="1"/>
  <c r="AW199" i="15" s="1"/>
  <c r="AX199" i="15" s="1"/>
  <c r="AY199" i="15" s="1"/>
  <c r="AH178" i="15"/>
  <c r="AK178" i="15" s="1"/>
  <c r="AV178" i="15" s="1"/>
  <c r="AW178" i="15" s="1"/>
  <c r="AX178" i="15" s="1"/>
  <c r="AY178" i="15" s="1"/>
  <c r="AH175" i="15"/>
  <c r="AK175" i="15" s="1"/>
  <c r="AV175" i="15" s="1"/>
  <c r="AW175" i="15" s="1"/>
  <c r="AX175" i="15" s="1"/>
  <c r="AH174" i="15"/>
  <c r="AK174" i="15" s="1"/>
  <c r="AV174" i="15" s="1"/>
  <c r="AW174" i="15" s="1"/>
  <c r="AX174" i="15" s="1"/>
  <c r="AW151" i="15"/>
  <c r="AX151" i="15" s="1"/>
  <c r="AY151" i="15" s="1"/>
  <c r="AH143" i="15"/>
  <c r="AK143" i="15" s="1"/>
  <c r="AV143" i="15" s="1"/>
  <c r="AW143" i="15" s="1"/>
  <c r="AX143" i="15" s="1"/>
  <c r="AH145" i="15"/>
  <c r="AK145" i="15" s="1"/>
  <c r="AV145" i="15" s="1"/>
  <c r="AW145" i="15" s="1"/>
  <c r="AX145" i="15" s="1"/>
  <c r="AH146" i="15"/>
  <c r="AK146" i="15" s="1"/>
  <c r="AV146" i="15" s="1"/>
  <c r="AW146" i="15" s="1"/>
  <c r="AX146" i="15" s="1"/>
  <c r="AY146" i="15" s="1"/>
  <c r="AH147" i="15"/>
  <c r="AK147" i="15" s="1"/>
  <c r="AV147" i="15" s="1"/>
  <c r="AW147" i="15" s="1"/>
  <c r="AX147" i="15" s="1"/>
  <c r="AY147" i="15" s="1"/>
  <c r="AH128" i="15"/>
  <c r="AK128" i="15" s="1"/>
  <c r="AV128" i="15" s="1"/>
  <c r="AW128" i="15" s="1"/>
  <c r="AX128" i="15" s="1"/>
  <c r="AH130" i="15"/>
  <c r="AK130" i="15" s="1"/>
  <c r="AV130" i="15" s="1"/>
  <c r="AW130" i="15" s="1"/>
  <c r="AX130" i="15" s="1"/>
  <c r="AH131" i="15"/>
  <c r="AK131" i="15" s="1"/>
  <c r="AV131" i="15" s="1"/>
  <c r="AW131" i="15" s="1"/>
  <c r="AX131" i="15" s="1"/>
  <c r="AY131" i="15" s="1"/>
  <c r="AH132" i="15"/>
  <c r="AK132" i="15" s="1"/>
  <c r="AV132" i="15" s="1"/>
  <c r="AW132" i="15" s="1"/>
  <c r="AX132" i="15" s="1"/>
  <c r="AY132" i="15" s="1"/>
  <c r="AH127" i="15"/>
  <c r="AK127" i="15" s="1"/>
  <c r="AV127" i="15" s="1"/>
  <c r="AW127" i="15" s="1"/>
  <c r="AX127" i="15" s="1"/>
  <c r="AY127" i="15" s="1"/>
  <c r="AH126" i="15"/>
  <c r="AK126" i="15" s="1"/>
  <c r="AV126" i="15" s="1"/>
  <c r="AW126" i="15" s="1"/>
  <c r="AX126" i="15" s="1"/>
  <c r="AY126" i="15" s="1"/>
  <c r="AK105" i="15"/>
  <c r="AV105" i="15" s="1"/>
  <c r="AK101" i="15"/>
  <c r="AV101" i="15" s="1"/>
  <c r="AW101" i="15" s="1"/>
  <c r="AX101" i="15" s="1"/>
  <c r="AY101" i="15" s="1"/>
  <c r="AK102" i="15"/>
  <c r="AV102" i="15" s="1"/>
  <c r="AW102" i="15" s="1"/>
  <c r="AX102" i="15" s="1"/>
  <c r="AY102" i="15" s="1"/>
  <c r="AK83" i="15"/>
  <c r="AV83" i="15" s="1"/>
  <c r="AW83" i="15" s="1"/>
  <c r="AX83" i="15" s="1"/>
  <c r="AH82" i="15"/>
  <c r="AK82" i="15" s="1"/>
  <c r="AV82" i="15" s="1"/>
  <c r="AW82" i="15" s="1"/>
  <c r="AX82" i="15" s="1"/>
  <c r="AY82" i="15" s="1"/>
  <c r="AK86" i="15"/>
  <c r="AV86" i="15" s="1"/>
  <c r="AW86" i="15" s="1"/>
  <c r="AX86" i="15" s="1"/>
  <c r="AY86" i="15" s="1"/>
  <c r="AH70" i="15"/>
  <c r="AK70" i="15" s="1"/>
  <c r="AV70" i="15" s="1"/>
  <c r="AW70" i="15" s="1"/>
  <c r="AX70" i="15" s="1"/>
  <c r="AK73" i="15"/>
  <c r="AV73" i="15" s="1"/>
  <c r="AW73" i="15" s="1"/>
  <c r="AX73" i="15" s="1"/>
  <c r="AY73" i="15" s="1"/>
  <c r="AH67" i="15"/>
  <c r="AK67" i="15" s="1"/>
  <c r="AV67" i="15" s="1"/>
  <c r="AW67" i="15" s="1"/>
  <c r="AX67" i="15" s="1"/>
  <c r="AY67" i="15" s="1"/>
  <c r="AH68" i="15"/>
  <c r="AK68" i="15" s="1"/>
  <c r="AV68" i="15" s="1"/>
  <c r="AW68" i="15" s="1"/>
  <c r="AX68" i="15" s="1"/>
  <c r="AH72" i="15"/>
  <c r="AK72" i="15" s="1"/>
  <c r="AV72" i="15" s="1"/>
  <c r="AW72" i="15" s="1"/>
  <c r="AX72" i="15" s="1"/>
  <c r="AY72" i="15" s="1"/>
  <c r="AH69" i="15"/>
  <c r="AK69" i="15" s="1"/>
  <c r="AV69" i="15" s="1"/>
  <c r="AW69" i="15" s="1"/>
  <c r="AX69" i="15" s="1"/>
  <c r="AH71" i="15"/>
  <c r="AK71" i="15" s="1"/>
  <c r="AV71" i="15" s="1"/>
  <c r="AW71" i="15" s="1"/>
  <c r="AX71" i="15" s="1"/>
  <c r="AY71" i="15" s="1"/>
  <c r="AH58" i="15"/>
  <c r="AK58" i="15" s="1"/>
  <c r="AV58" i="15" s="1"/>
  <c r="AW58" i="15" s="1"/>
  <c r="AX58" i="15" s="1"/>
  <c r="AY58" i="15" s="1"/>
  <c r="AH56" i="15"/>
  <c r="AK56" i="15" s="1"/>
  <c r="AV56" i="15" s="1"/>
  <c r="AW56" i="15" s="1"/>
  <c r="AX56" i="15" s="1"/>
  <c r="AY56" i="15" s="1"/>
  <c r="AH57" i="15"/>
  <c r="AK57" i="15" s="1"/>
  <c r="AV57" i="15" s="1"/>
  <c r="AW57" i="15" s="1"/>
  <c r="AX57" i="15" s="1"/>
  <c r="AY57" i="15" s="1"/>
  <c r="AH48" i="15"/>
  <c r="AK48" i="15" s="1"/>
  <c r="AV48" i="15" s="1"/>
  <c r="AW48" i="15" s="1"/>
  <c r="AX48" i="15" s="1"/>
  <c r="AY48" i="15" s="1"/>
  <c r="AH49" i="15"/>
  <c r="AK49" i="15" s="1"/>
  <c r="AV49" i="15" s="1"/>
  <c r="AW49" i="15" s="1"/>
  <c r="AX49" i="15" s="1"/>
  <c r="AY49" i="15" s="1"/>
  <c r="AH36" i="15"/>
  <c r="AK36" i="15" s="1"/>
  <c r="AV36" i="15" s="1"/>
  <c r="AW36" i="15" s="1"/>
  <c r="AX36" i="15" s="1"/>
  <c r="AY36" i="15" s="1"/>
  <c r="AH46" i="15"/>
  <c r="AK46" i="15" s="1"/>
  <c r="AV46" i="15" s="1"/>
  <c r="AH43" i="15"/>
  <c r="AK43" i="15" s="1"/>
  <c r="AV43" i="15" s="1"/>
  <c r="AW43" i="15" s="1"/>
  <c r="AX43" i="15" s="1"/>
  <c r="AY43" i="15" s="1"/>
  <c r="AH40" i="15"/>
  <c r="AK40" i="15" s="1"/>
  <c r="AV40" i="15" s="1"/>
  <c r="AW40" i="15" s="1"/>
  <c r="AX40" i="15" s="1"/>
  <c r="AH41" i="15"/>
  <c r="AK41" i="15" s="1"/>
  <c r="AV41" i="15" s="1"/>
  <c r="AW41" i="15" s="1"/>
  <c r="AX41" i="15" s="1"/>
  <c r="AY41" i="15" s="1"/>
  <c r="AK26" i="15"/>
  <c r="AV26" i="15" s="1"/>
  <c r="AW26" i="15" s="1"/>
  <c r="AX26" i="15" s="1"/>
  <c r="AY26" i="15" s="1"/>
  <c r="AK27" i="15"/>
  <c r="AV27" i="15" s="1"/>
  <c r="AW27" i="15" s="1"/>
  <c r="AX27" i="15" s="1"/>
  <c r="AY27" i="15" s="1"/>
  <c r="AH23" i="15"/>
  <c r="AK23" i="15" s="1"/>
  <c r="AV23" i="15" s="1"/>
  <c r="AW23" i="15" s="1"/>
  <c r="AX23" i="15" s="1"/>
  <c r="AH21" i="15"/>
  <c r="AK21" i="15" s="1"/>
  <c r="AV21" i="15" s="1"/>
  <c r="AW21" i="15" s="1"/>
  <c r="AX21" i="15" s="1"/>
  <c r="AY21" i="15" s="1"/>
  <c r="AH14" i="15"/>
  <c r="AK14" i="15" s="1"/>
  <c r="AV14" i="15" s="1"/>
  <c r="AW14" i="15" s="1"/>
  <c r="AX14" i="15" s="1"/>
  <c r="AY14" i="15" s="1"/>
  <c r="Z10" i="15"/>
  <c r="Z7" i="15"/>
  <c r="Z19" i="15"/>
  <c r="Z16" i="15"/>
  <c r="Z11" i="15"/>
  <c r="Z8" i="15"/>
  <c r="Z9" i="15"/>
  <c r="Z12" i="15"/>
  <c r="Z18" i="15"/>
  <c r="Z15" i="15"/>
  <c r="Z13" i="15"/>
  <c r="Z17" i="15"/>
  <c r="Z6" i="15"/>
  <c r="AW121" i="15" l="1"/>
  <c r="AX121" i="15" s="1"/>
  <c r="AY121" i="15" s="1"/>
  <c r="AW226" i="15"/>
  <c r="AX226" i="15" s="1"/>
  <c r="AY226" i="15" s="1"/>
  <c r="AY100" i="15"/>
  <c r="AW301" i="15"/>
  <c r="AX301" i="15" s="1"/>
  <c r="AY301" i="15" s="1"/>
  <c r="AW211" i="15"/>
  <c r="AX211" i="15" s="1"/>
  <c r="AY211" i="15" s="1"/>
  <c r="AW271" i="15"/>
  <c r="AX271" i="15" s="1"/>
  <c r="AY271" i="15" s="1"/>
  <c r="AY280" i="15"/>
  <c r="AW286" i="15"/>
  <c r="AX286" i="15" s="1"/>
  <c r="AY286" i="15" s="1"/>
  <c r="AY160" i="15"/>
  <c r="AY235" i="15"/>
  <c r="AW136" i="15"/>
  <c r="AX136" i="15" s="1"/>
  <c r="AY136" i="15" s="1"/>
  <c r="AW91" i="15"/>
  <c r="AX91" i="15" s="1"/>
  <c r="AY91" i="15" s="1"/>
  <c r="AW241" i="15"/>
  <c r="AX241" i="15" s="1"/>
  <c r="AY241" i="15" s="1"/>
  <c r="AW166" i="15"/>
  <c r="AX166" i="15" s="1"/>
  <c r="AY166" i="15" s="1"/>
  <c r="AY115" i="15"/>
  <c r="AY295" i="15"/>
  <c r="AW106" i="15"/>
  <c r="AX106" i="15" s="1"/>
  <c r="AY106" i="15" s="1"/>
  <c r="AY25" i="15"/>
  <c r="AY220" i="15"/>
  <c r="AY85" i="15"/>
  <c r="AW46" i="15"/>
  <c r="AX46" i="15" s="1"/>
  <c r="AY46" i="15" s="1"/>
  <c r="AW61" i="15"/>
  <c r="AX61" i="15" s="1"/>
  <c r="AY61" i="15" s="1"/>
  <c r="AY55" i="15"/>
  <c r="AY265" i="15"/>
  <c r="AY250" i="15"/>
  <c r="AY205" i="15"/>
  <c r="AY175" i="15"/>
  <c r="AY145" i="15"/>
  <c r="AY130" i="15"/>
  <c r="AY70" i="15"/>
  <c r="AY40" i="15"/>
  <c r="AA7" i="15"/>
  <c r="AH7" i="15" s="1"/>
  <c r="AK7" i="15" s="1"/>
  <c r="AV7" i="15" s="1"/>
  <c r="AW7" i="15" s="1"/>
  <c r="AX7" i="15" s="1"/>
  <c r="AY7" i="15" s="1"/>
  <c r="AA18" i="15"/>
  <c r="AH18" i="15" s="1"/>
  <c r="AK18" i="15" s="1"/>
  <c r="AV18" i="15" s="1"/>
  <c r="AW18" i="15" s="1"/>
  <c r="AX18" i="15" s="1"/>
  <c r="AY18" i="15" s="1"/>
  <c r="AA10" i="15"/>
  <c r="AH10" i="15" s="1"/>
  <c r="AK10" i="15" s="1"/>
  <c r="AV10" i="15" s="1"/>
  <c r="AW10" i="15" s="1"/>
  <c r="AX10" i="15" s="1"/>
  <c r="AA9" i="15"/>
  <c r="AH9" i="15" s="1"/>
  <c r="AK9" i="15" s="1"/>
  <c r="AV9" i="15" s="1"/>
  <c r="AW9" i="15" s="1"/>
  <c r="AX9" i="15" s="1"/>
  <c r="AA16" i="15"/>
  <c r="AH16" i="15" s="1"/>
  <c r="AK16" i="15" s="1"/>
  <c r="AV16" i="15" s="1"/>
  <c r="AA17" i="15"/>
  <c r="AH17" i="15" s="1"/>
  <c r="AK17" i="15" s="1"/>
  <c r="AV17" i="15" s="1"/>
  <c r="AW17" i="15" s="1"/>
  <c r="AA12" i="15"/>
  <c r="AH12" i="15" s="1"/>
  <c r="AK12" i="15" s="1"/>
  <c r="AV12" i="15" s="1"/>
  <c r="AW12" i="15" s="1"/>
  <c r="AA8" i="15"/>
  <c r="AH8" i="15" s="1"/>
  <c r="AK8" i="15" s="1"/>
  <c r="AV8" i="15" s="1"/>
  <c r="AW8" i="15" s="1"/>
  <c r="AX8" i="15" s="1"/>
  <c r="AA6" i="15"/>
  <c r="AH6" i="15" s="1"/>
  <c r="AK6" i="15" s="1"/>
  <c r="AV6" i="15" s="1"/>
  <c r="AW6" i="15" s="1"/>
  <c r="AX6" i="15" s="1"/>
  <c r="AY6" i="15" s="1"/>
  <c r="AA19" i="15"/>
  <c r="AH19" i="15" s="1"/>
  <c r="AK19" i="15" s="1"/>
  <c r="AV19" i="15" s="1"/>
  <c r="AW19" i="15" s="1"/>
  <c r="AX19" i="15" s="1"/>
  <c r="AA13" i="15"/>
  <c r="AH13" i="15" s="1"/>
  <c r="AK13" i="15" s="1"/>
  <c r="AV13" i="15" s="1"/>
  <c r="AW13" i="15" s="1"/>
  <c r="AX13" i="15" s="1"/>
  <c r="AY13" i="15" s="1"/>
  <c r="AA11" i="15"/>
  <c r="AH11" i="15" s="1"/>
  <c r="AK11" i="15" s="1"/>
  <c r="AV11" i="15" s="1"/>
  <c r="AW11" i="15" s="1"/>
  <c r="AX11" i="15" s="1"/>
  <c r="AY11" i="15" s="1"/>
  <c r="AA15" i="15"/>
  <c r="AH15" i="15" s="1"/>
  <c r="AK15" i="15" s="1"/>
  <c r="AV15" i="15" s="1"/>
  <c r="AW149" i="11"/>
  <c r="AU149" i="11"/>
  <c r="AS149" i="11"/>
  <c r="AT149" i="11" s="1"/>
  <c r="AQ149" i="11"/>
  <c r="AM149" i="11"/>
  <c r="AN149" i="11" s="1"/>
  <c r="AJ149" i="11"/>
  <c r="AK149" i="11" s="1"/>
  <c r="AH149" i="11"/>
  <c r="AG149" i="11"/>
  <c r="AW148" i="11"/>
  <c r="AU148" i="11"/>
  <c r="AS148" i="11"/>
  <c r="AT148" i="11" s="1"/>
  <c r="AQ148" i="11"/>
  <c r="AM148" i="11"/>
  <c r="AN148" i="11" s="1"/>
  <c r="AJ148" i="11"/>
  <c r="AK148" i="11" s="1"/>
  <c r="AH148" i="11"/>
  <c r="AG148" i="11"/>
  <c r="AW147" i="11"/>
  <c r="AU147" i="11"/>
  <c r="AS147" i="11"/>
  <c r="AT147" i="11" s="1"/>
  <c r="AQ147" i="11"/>
  <c r="AM147" i="11"/>
  <c r="AN147" i="11" s="1"/>
  <c r="AJ147" i="11"/>
  <c r="AK147" i="11" s="1"/>
  <c r="AH147" i="11"/>
  <c r="AG147" i="11"/>
  <c r="AS146" i="11"/>
  <c r="AT146" i="11" s="1"/>
  <c r="AQ146" i="11"/>
  <c r="AM146" i="11"/>
  <c r="AN146" i="11" s="1"/>
  <c r="AJ146" i="11"/>
  <c r="AK146" i="11" s="1"/>
  <c r="AH146" i="11"/>
  <c r="AG146" i="11"/>
  <c r="AS145" i="11"/>
  <c r="AT145" i="11" s="1"/>
  <c r="AQ145" i="11"/>
  <c r="AM145" i="11"/>
  <c r="AN145" i="11" s="1"/>
  <c r="AJ145" i="11"/>
  <c r="AK145" i="11" s="1"/>
  <c r="AH145" i="11"/>
  <c r="AG145" i="11"/>
  <c r="AD145" i="11" s="1"/>
  <c r="AE145" i="11" s="1"/>
  <c r="AS144" i="11"/>
  <c r="AT144" i="11" s="1"/>
  <c r="AQ144" i="11"/>
  <c r="AM144" i="11"/>
  <c r="AN144" i="11" s="1"/>
  <c r="AJ144" i="11"/>
  <c r="AK144" i="11" s="1"/>
  <c r="AH144" i="11"/>
  <c r="AG144" i="11"/>
  <c r="AW143" i="11"/>
  <c r="AU143" i="11"/>
  <c r="AS143" i="11"/>
  <c r="AT143" i="11" s="1"/>
  <c r="AQ143" i="11"/>
  <c r="AM143" i="11"/>
  <c r="AN143" i="11" s="1"/>
  <c r="AK143" i="11"/>
  <c r="AJ143" i="11"/>
  <c r="AH143" i="11"/>
  <c r="AG143" i="11"/>
  <c r="AW142" i="11"/>
  <c r="AU142" i="11"/>
  <c r="AS142" i="11"/>
  <c r="AT142" i="11" s="1"/>
  <c r="AQ142" i="11"/>
  <c r="AM142" i="11"/>
  <c r="AN142" i="11" s="1"/>
  <c r="AJ142" i="11"/>
  <c r="AK142" i="11" s="1"/>
  <c r="AH142" i="11"/>
  <c r="AG142" i="11"/>
  <c r="AW141" i="11"/>
  <c r="AU141" i="11"/>
  <c r="AS141" i="11"/>
  <c r="AT141" i="11" s="1"/>
  <c r="AQ141" i="11"/>
  <c r="AM141" i="11"/>
  <c r="AN141" i="11" s="1"/>
  <c r="AJ141" i="11"/>
  <c r="AK141" i="11" s="1"/>
  <c r="AH141" i="11"/>
  <c r="AG141" i="11"/>
  <c r="AW140" i="11"/>
  <c r="AU140" i="11"/>
  <c r="AS140" i="11"/>
  <c r="AT140" i="11" s="1"/>
  <c r="AQ140" i="11"/>
  <c r="AM140" i="11"/>
  <c r="AN140" i="11" s="1"/>
  <c r="AJ140" i="11"/>
  <c r="AK140" i="11" s="1"/>
  <c r="AH140" i="11"/>
  <c r="AG140" i="11"/>
  <c r="AS139" i="11"/>
  <c r="AT139" i="11" s="1"/>
  <c r="AQ139" i="11"/>
  <c r="AM139" i="11"/>
  <c r="AN139" i="11" s="1"/>
  <c r="AJ139" i="11"/>
  <c r="AK139" i="11" s="1"/>
  <c r="AH139" i="11"/>
  <c r="AG139" i="11"/>
  <c r="AS138" i="11"/>
  <c r="AT138" i="11" s="1"/>
  <c r="AQ138" i="11"/>
  <c r="AM138" i="11"/>
  <c r="AN138" i="11" s="1"/>
  <c r="AJ138" i="11"/>
  <c r="AK138" i="11" s="1"/>
  <c r="AH138" i="11"/>
  <c r="AG138" i="11"/>
  <c r="AW137" i="11"/>
  <c r="AU137" i="11"/>
  <c r="AS137" i="11"/>
  <c r="AT137" i="11" s="1"/>
  <c r="AQ137" i="11"/>
  <c r="AM137" i="11"/>
  <c r="AN137" i="11" s="1"/>
  <c r="AJ137" i="11"/>
  <c r="AK137" i="11" s="1"/>
  <c r="AH137" i="11"/>
  <c r="AG137" i="11"/>
  <c r="AW136" i="11"/>
  <c r="AU136" i="11"/>
  <c r="AS136" i="11"/>
  <c r="AT136" i="11" s="1"/>
  <c r="AQ136" i="11"/>
  <c r="AM136" i="11"/>
  <c r="AN136" i="11" s="1"/>
  <c r="AJ136" i="11"/>
  <c r="AK136" i="11" s="1"/>
  <c r="AH136" i="11"/>
  <c r="AG136" i="11"/>
  <c r="AW135" i="11"/>
  <c r="AU135" i="11"/>
  <c r="AS135" i="11"/>
  <c r="AT135" i="11" s="1"/>
  <c r="AQ135" i="11"/>
  <c r="AM135" i="11"/>
  <c r="AN135" i="11" s="1"/>
  <c r="AJ135" i="11"/>
  <c r="AK135" i="11" s="1"/>
  <c r="AH135" i="11"/>
  <c r="AG135" i="11"/>
  <c r="AS134" i="11"/>
  <c r="AT134" i="11" s="1"/>
  <c r="AQ134" i="11"/>
  <c r="AM134" i="11"/>
  <c r="AN134" i="11" s="1"/>
  <c r="AJ134" i="11"/>
  <c r="AK134" i="11" s="1"/>
  <c r="AH134" i="11"/>
  <c r="AG134" i="11"/>
  <c r="AS133" i="11"/>
  <c r="AT133" i="11" s="1"/>
  <c r="AQ133" i="11"/>
  <c r="AM133" i="11"/>
  <c r="AN133" i="11" s="1"/>
  <c r="AJ133" i="11"/>
  <c r="AK133" i="11" s="1"/>
  <c r="AH133" i="11"/>
  <c r="AG133" i="11"/>
  <c r="AS132" i="11"/>
  <c r="AT132" i="11" s="1"/>
  <c r="AQ132" i="11"/>
  <c r="AM132" i="11"/>
  <c r="AN132" i="11" s="1"/>
  <c r="AJ132" i="11"/>
  <c r="AK132" i="11" s="1"/>
  <c r="AH132" i="11"/>
  <c r="AG132" i="11"/>
  <c r="AW131" i="11"/>
  <c r="AU131" i="11"/>
  <c r="AS131" i="11"/>
  <c r="AT131" i="11" s="1"/>
  <c r="AQ131" i="11"/>
  <c r="AM131" i="11"/>
  <c r="AN131" i="11" s="1"/>
  <c r="AJ131" i="11"/>
  <c r="AK131" i="11" s="1"/>
  <c r="AH131" i="11"/>
  <c r="AG131" i="11"/>
  <c r="AW130" i="11"/>
  <c r="AU130" i="11"/>
  <c r="AS130" i="11"/>
  <c r="AT130" i="11" s="1"/>
  <c r="AQ130" i="11"/>
  <c r="AM130" i="11"/>
  <c r="AN130" i="11" s="1"/>
  <c r="AJ130" i="11"/>
  <c r="AK130" i="11" s="1"/>
  <c r="AH130" i="11"/>
  <c r="AG130" i="11"/>
  <c r="AW129" i="11"/>
  <c r="AU129" i="11"/>
  <c r="AS129" i="11"/>
  <c r="AT129" i="11" s="1"/>
  <c r="AQ129" i="11"/>
  <c r="AM129" i="11"/>
  <c r="AN129" i="11" s="1"/>
  <c r="AJ129" i="11"/>
  <c r="AK129" i="11" s="1"/>
  <c r="AH129" i="11"/>
  <c r="AG129" i="11"/>
  <c r="AW128" i="11"/>
  <c r="AU128" i="11"/>
  <c r="AS128" i="11"/>
  <c r="AT128" i="11" s="1"/>
  <c r="AQ128" i="11"/>
  <c r="AM128" i="11"/>
  <c r="AN128" i="11" s="1"/>
  <c r="AJ128" i="11"/>
  <c r="AK128" i="11" s="1"/>
  <c r="AH128" i="11"/>
  <c r="AG128" i="11"/>
  <c r="AW127" i="11"/>
  <c r="AU127" i="11"/>
  <c r="AS127" i="11"/>
  <c r="AT127" i="11" s="1"/>
  <c r="AQ127" i="11"/>
  <c r="AM127" i="11"/>
  <c r="AN127" i="11" s="1"/>
  <c r="AJ127" i="11"/>
  <c r="AK127" i="11" s="1"/>
  <c r="AH127" i="11"/>
  <c r="AG127" i="11"/>
  <c r="AC127" i="11"/>
  <c r="AS126" i="11"/>
  <c r="AT126" i="11" s="1"/>
  <c r="AQ126" i="11"/>
  <c r="AM126" i="11"/>
  <c r="AN126" i="11" s="1"/>
  <c r="AJ126" i="11"/>
  <c r="AK126" i="11" s="1"/>
  <c r="AH126" i="11"/>
  <c r="AG126" i="11"/>
  <c r="AC126" i="11"/>
  <c r="AS125" i="11"/>
  <c r="AT125" i="11" s="1"/>
  <c r="AQ125" i="11"/>
  <c r="AM125" i="11"/>
  <c r="AN125" i="11" s="1"/>
  <c r="AJ125" i="11"/>
  <c r="AK125" i="11" s="1"/>
  <c r="AH125" i="11"/>
  <c r="AG125" i="11"/>
  <c r="AC125" i="11"/>
  <c r="AS124" i="11"/>
  <c r="AT124" i="11" s="1"/>
  <c r="AQ124" i="11"/>
  <c r="AM124" i="11"/>
  <c r="AN124" i="11" s="1"/>
  <c r="AJ124" i="11"/>
  <c r="AK124" i="11" s="1"/>
  <c r="AH124" i="11"/>
  <c r="AG124" i="11"/>
  <c r="AC124" i="11"/>
  <c r="AS123" i="11"/>
  <c r="AT123" i="11" s="1"/>
  <c r="AQ123" i="11"/>
  <c r="AM123" i="11"/>
  <c r="AN123" i="11" s="1"/>
  <c r="AJ123" i="11"/>
  <c r="AK123" i="11" s="1"/>
  <c r="AH123" i="11"/>
  <c r="AG123" i="11"/>
  <c r="AC123" i="11"/>
  <c r="AS122" i="11"/>
  <c r="AT122" i="11" s="1"/>
  <c r="AQ122" i="11"/>
  <c r="AM122" i="11"/>
  <c r="AN122" i="11" s="1"/>
  <c r="AJ122" i="11"/>
  <c r="AK122" i="11" s="1"/>
  <c r="AH122" i="11"/>
  <c r="AG122" i="11"/>
  <c r="AC122" i="11"/>
  <c r="AW121" i="11"/>
  <c r="AU121" i="11"/>
  <c r="AS121" i="11"/>
  <c r="AT121" i="11" s="1"/>
  <c r="AQ121" i="11"/>
  <c r="AM121" i="11"/>
  <c r="AN121" i="11" s="1"/>
  <c r="AJ121" i="11"/>
  <c r="AK121" i="11" s="1"/>
  <c r="AH121" i="11"/>
  <c r="AG121" i="11"/>
  <c r="AC121" i="11"/>
  <c r="AS120" i="11"/>
  <c r="AT120" i="11" s="1"/>
  <c r="AQ120" i="11"/>
  <c r="AM120" i="11"/>
  <c r="AN120" i="11" s="1"/>
  <c r="AJ120" i="11"/>
  <c r="AK120" i="11" s="1"/>
  <c r="AH120" i="11"/>
  <c r="AG120" i="11"/>
  <c r="AC120" i="11"/>
  <c r="AS119" i="11"/>
  <c r="AT119" i="11" s="1"/>
  <c r="AQ119" i="11"/>
  <c r="AM119" i="11"/>
  <c r="AN119" i="11" s="1"/>
  <c r="AJ119" i="11"/>
  <c r="AK119" i="11" s="1"/>
  <c r="AH119" i="11"/>
  <c r="AG119" i="11"/>
  <c r="AC119" i="11"/>
  <c r="AS118" i="11"/>
  <c r="AT118" i="11" s="1"/>
  <c r="AQ118" i="11"/>
  <c r="AM118" i="11"/>
  <c r="AN118" i="11" s="1"/>
  <c r="AJ118" i="11"/>
  <c r="AK118" i="11" s="1"/>
  <c r="AH118" i="11"/>
  <c r="AG118" i="11"/>
  <c r="AC118" i="11"/>
  <c r="AS117" i="11"/>
  <c r="AT117" i="11" s="1"/>
  <c r="AQ117" i="11"/>
  <c r="AM117" i="11"/>
  <c r="AN117" i="11" s="1"/>
  <c r="AJ117" i="11"/>
  <c r="AK117" i="11" s="1"/>
  <c r="AH117" i="11"/>
  <c r="AG117" i="11"/>
  <c r="AC117" i="11"/>
  <c r="AS116" i="11"/>
  <c r="AT116" i="11" s="1"/>
  <c r="AQ116" i="11"/>
  <c r="AM116" i="11"/>
  <c r="AN116" i="11" s="1"/>
  <c r="AJ116" i="11"/>
  <c r="AK116" i="11" s="1"/>
  <c r="AH116" i="11"/>
  <c r="AG116" i="11"/>
  <c r="AC116" i="11"/>
  <c r="AS115" i="11"/>
  <c r="AT115" i="11" s="1"/>
  <c r="AQ115" i="11"/>
  <c r="AM115" i="11"/>
  <c r="AN115" i="11" s="1"/>
  <c r="AJ115" i="11"/>
  <c r="AK115" i="11" s="1"/>
  <c r="AH115" i="11"/>
  <c r="AG115" i="11"/>
  <c r="AC115" i="11"/>
  <c r="AW114" i="11"/>
  <c r="AU114" i="11"/>
  <c r="AS114" i="11"/>
  <c r="AT114" i="11" s="1"/>
  <c r="AQ114" i="11"/>
  <c r="AM114" i="11"/>
  <c r="AN114" i="11" s="1"/>
  <c r="AJ114" i="11"/>
  <c r="AK114" i="11" s="1"/>
  <c r="AH114" i="11"/>
  <c r="AG114" i="11"/>
  <c r="AC114" i="11"/>
  <c r="AS113" i="11"/>
  <c r="AT113" i="11" s="1"/>
  <c r="AQ113" i="11"/>
  <c r="AM113" i="11"/>
  <c r="AN113" i="11" s="1"/>
  <c r="AJ113" i="11"/>
  <c r="AK113" i="11" s="1"/>
  <c r="AH113" i="11"/>
  <c r="AG113" i="11"/>
  <c r="AC113" i="11"/>
  <c r="AS112" i="11"/>
  <c r="AT112" i="11" s="1"/>
  <c r="AQ112" i="11"/>
  <c r="AM112" i="11"/>
  <c r="AN112" i="11" s="1"/>
  <c r="AJ112" i="11"/>
  <c r="AK112" i="11" s="1"/>
  <c r="AH112" i="11"/>
  <c r="AG112" i="11"/>
  <c r="AC112" i="11"/>
  <c r="AS111" i="11"/>
  <c r="AT111" i="11" s="1"/>
  <c r="AQ111" i="11"/>
  <c r="AM111" i="11"/>
  <c r="AN111" i="11" s="1"/>
  <c r="AJ111" i="11"/>
  <c r="AK111" i="11" s="1"/>
  <c r="AH111" i="11"/>
  <c r="AG111" i="11"/>
  <c r="AC111" i="11"/>
  <c r="AS110" i="11"/>
  <c r="AT110" i="11" s="1"/>
  <c r="AQ110" i="11"/>
  <c r="AM110" i="11"/>
  <c r="AN110" i="11" s="1"/>
  <c r="AJ110" i="11"/>
  <c r="AK110" i="11" s="1"/>
  <c r="AH110" i="11"/>
  <c r="AG110" i="11"/>
  <c r="AC110" i="11"/>
  <c r="AS109" i="11"/>
  <c r="AT109" i="11" s="1"/>
  <c r="AQ109" i="11"/>
  <c r="AM109" i="11"/>
  <c r="AN109" i="11" s="1"/>
  <c r="AJ109" i="11"/>
  <c r="AK109" i="11" s="1"/>
  <c r="AH109" i="11"/>
  <c r="AG109" i="11"/>
  <c r="AC109" i="11"/>
  <c r="AS108" i="11"/>
  <c r="AT108" i="11" s="1"/>
  <c r="AQ108" i="11"/>
  <c r="AM108" i="11"/>
  <c r="AN108" i="11" s="1"/>
  <c r="AJ108" i="11"/>
  <c r="AK108" i="11" s="1"/>
  <c r="AH108" i="11"/>
  <c r="AG108" i="11"/>
  <c r="AC108" i="11"/>
  <c r="AS107" i="11"/>
  <c r="AT107" i="11" s="1"/>
  <c r="AQ107" i="11"/>
  <c r="AM107" i="11"/>
  <c r="AN107" i="11" s="1"/>
  <c r="AJ107" i="11"/>
  <c r="AK107" i="11" s="1"/>
  <c r="AH107" i="11"/>
  <c r="AG107" i="11"/>
  <c r="AC107" i="11"/>
  <c r="AS106" i="11"/>
  <c r="AT106" i="11" s="1"/>
  <c r="AQ106" i="11"/>
  <c r="AM106" i="11"/>
  <c r="AN106" i="11" s="1"/>
  <c r="AJ106" i="11"/>
  <c r="AK106" i="11" s="1"/>
  <c r="AH106" i="11"/>
  <c r="AG106" i="11"/>
  <c r="AS105" i="11"/>
  <c r="AT105" i="11" s="1"/>
  <c r="AQ105" i="11"/>
  <c r="AM105" i="11"/>
  <c r="AN105" i="11" s="1"/>
  <c r="AJ105" i="11"/>
  <c r="AK105" i="11" s="1"/>
  <c r="AH105" i="11"/>
  <c r="AG105" i="11"/>
  <c r="AS104" i="11"/>
  <c r="AT104" i="11" s="1"/>
  <c r="AQ104" i="11"/>
  <c r="AM104" i="11"/>
  <c r="AN104" i="11" s="1"/>
  <c r="AJ104" i="11"/>
  <c r="AK104" i="11" s="1"/>
  <c r="AH104" i="11"/>
  <c r="AG104" i="11"/>
  <c r="AC104" i="11"/>
  <c r="AS103" i="11"/>
  <c r="AT103" i="11" s="1"/>
  <c r="AQ103" i="11"/>
  <c r="AM103" i="11"/>
  <c r="AN103" i="11" s="1"/>
  <c r="AJ103" i="11"/>
  <c r="AK103" i="11" s="1"/>
  <c r="AH103" i="11"/>
  <c r="AG103" i="11"/>
  <c r="AC103" i="11"/>
  <c r="AS102" i="11"/>
  <c r="AT102" i="11" s="1"/>
  <c r="AQ102" i="11"/>
  <c r="AM102" i="11"/>
  <c r="AN102" i="11" s="1"/>
  <c r="AJ102" i="11"/>
  <c r="AK102" i="11" s="1"/>
  <c r="AH102" i="11"/>
  <c r="AG102" i="11"/>
  <c r="AC102" i="11"/>
  <c r="AS101" i="11"/>
  <c r="AT101" i="11" s="1"/>
  <c r="AQ101" i="11"/>
  <c r="AM101" i="11"/>
  <c r="AN101" i="11" s="1"/>
  <c r="AJ101" i="11"/>
  <c r="AK101" i="11" s="1"/>
  <c r="AH101" i="11"/>
  <c r="AG101" i="11"/>
  <c r="AC101" i="11"/>
  <c r="AS100" i="11"/>
  <c r="AT100" i="11" s="1"/>
  <c r="AQ100" i="11"/>
  <c r="AM100" i="11"/>
  <c r="AN100" i="11" s="1"/>
  <c r="AJ100" i="11"/>
  <c r="AK100" i="11" s="1"/>
  <c r="AH100" i="11"/>
  <c r="AG100" i="11"/>
  <c r="AC100" i="11"/>
  <c r="AS99" i="11"/>
  <c r="AT99" i="11" s="1"/>
  <c r="AQ99" i="11"/>
  <c r="AM99" i="11"/>
  <c r="AN99" i="11" s="1"/>
  <c r="AJ99" i="11"/>
  <c r="AK99" i="11" s="1"/>
  <c r="AH99" i="11"/>
  <c r="AG99" i="11"/>
  <c r="AC99" i="11"/>
  <c r="AS98" i="11"/>
  <c r="AT98" i="11" s="1"/>
  <c r="AQ98" i="11"/>
  <c r="AM98" i="11"/>
  <c r="AN98" i="11" s="1"/>
  <c r="AJ98" i="11"/>
  <c r="AK98" i="11" s="1"/>
  <c r="AH98" i="11"/>
  <c r="AG98" i="11"/>
  <c r="AC98" i="11"/>
  <c r="AS97" i="11"/>
  <c r="AT97" i="11" s="1"/>
  <c r="AQ97" i="11"/>
  <c r="AM97" i="11"/>
  <c r="AN97" i="11" s="1"/>
  <c r="AJ97" i="11"/>
  <c r="AK97" i="11" s="1"/>
  <c r="AH97" i="11"/>
  <c r="AG97" i="11"/>
  <c r="AC97" i="11"/>
  <c r="AS96" i="11"/>
  <c r="AT96" i="11" s="1"/>
  <c r="AQ96" i="11"/>
  <c r="AM96" i="11"/>
  <c r="AN96" i="11" s="1"/>
  <c r="AJ96" i="11"/>
  <c r="AK96" i="11" s="1"/>
  <c r="AH96" i="11"/>
  <c r="AG96" i="11"/>
  <c r="AC96" i="11"/>
  <c r="AW95" i="11"/>
  <c r="AU95" i="11"/>
  <c r="AS95" i="11"/>
  <c r="AT95" i="11" s="1"/>
  <c r="AQ95" i="11"/>
  <c r="AM95" i="11"/>
  <c r="AN95" i="11" s="1"/>
  <c r="AJ95" i="11"/>
  <c r="AK95" i="11" s="1"/>
  <c r="AH95" i="11"/>
  <c r="AG95" i="11"/>
  <c r="AC95" i="11"/>
  <c r="AW94" i="11"/>
  <c r="AU94" i="11"/>
  <c r="AS94" i="11"/>
  <c r="AT94" i="11" s="1"/>
  <c r="AQ94" i="11"/>
  <c r="AM94" i="11"/>
  <c r="AN94" i="11" s="1"/>
  <c r="AJ94" i="11"/>
  <c r="AK94" i="11" s="1"/>
  <c r="AH94" i="11"/>
  <c r="AG94" i="11"/>
  <c r="AC94" i="11"/>
  <c r="AW93" i="11"/>
  <c r="AU93" i="11"/>
  <c r="AS93" i="11"/>
  <c r="AT93" i="11" s="1"/>
  <c r="AQ93" i="11"/>
  <c r="AM93" i="11"/>
  <c r="AN93" i="11" s="1"/>
  <c r="AJ93" i="11"/>
  <c r="AK93" i="11" s="1"/>
  <c r="AH93" i="11"/>
  <c r="AG93" i="11"/>
  <c r="AB93" i="11"/>
  <c r="AW92" i="11"/>
  <c r="AU92" i="11"/>
  <c r="AS92" i="11"/>
  <c r="AT92" i="11" s="1"/>
  <c r="AQ92" i="11"/>
  <c r="AM92" i="11"/>
  <c r="AN92" i="11" s="1"/>
  <c r="AJ92" i="11"/>
  <c r="AK92" i="11" s="1"/>
  <c r="AH92" i="11"/>
  <c r="AG92" i="11"/>
  <c r="AC92" i="11"/>
  <c r="AW91" i="11"/>
  <c r="AU91" i="11"/>
  <c r="AS91" i="11"/>
  <c r="AT91" i="11" s="1"/>
  <c r="AQ91" i="11"/>
  <c r="AM91" i="11"/>
  <c r="AN91" i="11" s="1"/>
  <c r="AJ91" i="11"/>
  <c r="AK91" i="11" s="1"/>
  <c r="AH91" i="11"/>
  <c r="AG91" i="11"/>
  <c r="AB91" i="11"/>
  <c r="AW90" i="11"/>
  <c r="AU90" i="11"/>
  <c r="AS90" i="11"/>
  <c r="AT90" i="11" s="1"/>
  <c r="AQ90" i="11"/>
  <c r="AM90" i="11"/>
  <c r="AN90" i="11" s="1"/>
  <c r="AJ90" i="11"/>
  <c r="AK90" i="11" s="1"/>
  <c r="AH90" i="11"/>
  <c r="AG90" i="11"/>
  <c r="AB90" i="11"/>
  <c r="AW89" i="11"/>
  <c r="AU89" i="11"/>
  <c r="AS89" i="11"/>
  <c r="AT89" i="11" s="1"/>
  <c r="AQ89" i="11"/>
  <c r="AM89" i="11"/>
  <c r="AN89" i="11" s="1"/>
  <c r="AJ89" i="11"/>
  <c r="AK89" i="11" s="1"/>
  <c r="AH89" i="11"/>
  <c r="AG89" i="11"/>
  <c r="AB89" i="11"/>
  <c r="AW88" i="11"/>
  <c r="AU88" i="11"/>
  <c r="AS88" i="11"/>
  <c r="AT88" i="11" s="1"/>
  <c r="AQ88" i="11"/>
  <c r="AM88" i="11"/>
  <c r="AN88" i="11" s="1"/>
  <c r="AJ88" i="11"/>
  <c r="AK88" i="11" s="1"/>
  <c r="AH88" i="11"/>
  <c r="AG88" i="11"/>
  <c r="AW87" i="11"/>
  <c r="AU87" i="11"/>
  <c r="AS87" i="11"/>
  <c r="AT87" i="11" s="1"/>
  <c r="AQ87" i="11"/>
  <c r="AM87" i="11"/>
  <c r="AN87" i="11" s="1"/>
  <c r="AJ87" i="11"/>
  <c r="AK87" i="11" s="1"/>
  <c r="AH87" i="11"/>
  <c r="AG87" i="11"/>
  <c r="AW86" i="11"/>
  <c r="AU86" i="11"/>
  <c r="AS86" i="11"/>
  <c r="AT86" i="11" s="1"/>
  <c r="AQ86" i="11"/>
  <c r="AM86" i="11"/>
  <c r="AN86" i="11" s="1"/>
  <c r="AJ86" i="11"/>
  <c r="AK86" i="11" s="1"/>
  <c r="AH86" i="11"/>
  <c r="AG86" i="11"/>
  <c r="AW85" i="11"/>
  <c r="AU85" i="11"/>
  <c r="AS85" i="11"/>
  <c r="AT85" i="11" s="1"/>
  <c r="AQ85" i="11"/>
  <c r="AM85" i="11"/>
  <c r="AN85" i="11" s="1"/>
  <c r="AJ85" i="11"/>
  <c r="AK85" i="11" s="1"/>
  <c r="AH85" i="11"/>
  <c r="AG85" i="11"/>
  <c r="AW84" i="11"/>
  <c r="AU84" i="11"/>
  <c r="AS84" i="11"/>
  <c r="AT84" i="11" s="1"/>
  <c r="AQ84" i="11"/>
  <c r="AM84" i="11"/>
  <c r="AN84" i="11" s="1"/>
  <c r="AJ84" i="11"/>
  <c r="AK84" i="11" s="1"/>
  <c r="AH84" i="11"/>
  <c r="AG84" i="11"/>
  <c r="AW83" i="11"/>
  <c r="AU83" i="11"/>
  <c r="AS83" i="11"/>
  <c r="AT83" i="11" s="1"/>
  <c r="AQ83" i="11"/>
  <c r="AM83" i="11"/>
  <c r="AN83" i="11" s="1"/>
  <c r="AJ83" i="11"/>
  <c r="AK83" i="11" s="1"/>
  <c r="AH83" i="11"/>
  <c r="AG83" i="11"/>
  <c r="AW82" i="11"/>
  <c r="AU82" i="11"/>
  <c r="AS82" i="11"/>
  <c r="AT82" i="11" s="1"/>
  <c r="AQ82" i="11"/>
  <c r="AM82" i="11"/>
  <c r="AN82" i="11" s="1"/>
  <c r="AJ82" i="11"/>
  <c r="AK82" i="11" s="1"/>
  <c r="AH82" i="11"/>
  <c r="AG82" i="11"/>
  <c r="AW81" i="11"/>
  <c r="AU81" i="11"/>
  <c r="AS81" i="11"/>
  <c r="AT81" i="11" s="1"/>
  <c r="AQ81" i="11"/>
  <c r="AM81" i="11"/>
  <c r="AN81" i="11" s="1"/>
  <c r="AJ81" i="11"/>
  <c r="AK81" i="11" s="1"/>
  <c r="AH81" i="11"/>
  <c r="AG81" i="11"/>
  <c r="AW80" i="11"/>
  <c r="AU80" i="11"/>
  <c r="AS80" i="11"/>
  <c r="AT80" i="11" s="1"/>
  <c r="AQ80" i="11"/>
  <c r="AM80" i="11"/>
  <c r="AN80" i="11" s="1"/>
  <c r="AJ80" i="11"/>
  <c r="AK80" i="11" s="1"/>
  <c r="AH80" i="11"/>
  <c r="AG80" i="11"/>
  <c r="AW79" i="11"/>
  <c r="AU79" i="11"/>
  <c r="AS79" i="11"/>
  <c r="AT79" i="11" s="1"/>
  <c r="AQ79" i="11"/>
  <c r="AM79" i="11"/>
  <c r="AN79" i="11" s="1"/>
  <c r="AJ79" i="11"/>
  <c r="AK79" i="11" s="1"/>
  <c r="AH79" i="11"/>
  <c r="AG79" i="11"/>
  <c r="AW78" i="11"/>
  <c r="AU78" i="11"/>
  <c r="AS78" i="11"/>
  <c r="AT78" i="11" s="1"/>
  <c r="AQ78" i="11"/>
  <c r="AM78" i="11"/>
  <c r="AN78" i="11" s="1"/>
  <c r="AJ78" i="11"/>
  <c r="AK78" i="11" s="1"/>
  <c r="AH78" i="11"/>
  <c r="AG78" i="11"/>
  <c r="AW77" i="11"/>
  <c r="AU77" i="11"/>
  <c r="AS77" i="11"/>
  <c r="AT77" i="11" s="1"/>
  <c r="AQ77" i="11"/>
  <c r="AM77" i="11"/>
  <c r="AN77" i="11" s="1"/>
  <c r="AJ77" i="11"/>
  <c r="AK77" i="11" s="1"/>
  <c r="AH77" i="11"/>
  <c r="AG77" i="11"/>
  <c r="AW76" i="11"/>
  <c r="AU76" i="11"/>
  <c r="AS76" i="11"/>
  <c r="AT76" i="11" s="1"/>
  <c r="AQ76" i="11"/>
  <c r="AM76" i="11"/>
  <c r="AN76" i="11" s="1"/>
  <c r="AJ76" i="11"/>
  <c r="AK76" i="11" s="1"/>
  <c r="AH76" i="11"/>
  <c r="AG76" i="11"/>
  <c r="AW75" i="11"/>
  <c r="AU75" i="11"/>
  <c r="AS75" i="11"/>
  <c r="AT75" i="11" s="1"/>
  <c r="AQ75" i="11"/>
  <c r="AM75" i="11"/>
  <c r="AN75" i="11" s="1"/>
  <c r="AJ75" i="11"/>
  <c r="AK75" i="11" s="1"/>
  <c r="AH75" i="11"/>
  <c r="AG75" i="11"/>
  <c r="AW74" i="11"/>
  <c r="AU74" i="11"/>
  <c r="AS74" i="11"/>
  <c r="AT74" i="11" s="1"/>
  <c r="AQ74" i="11"/>
  <c r="AM74" i="11"/>
  <c r="AN74" i="11" s="1"/>
  <c r="AJ74" i="11"/>
  <c r="AK74" i="11" s="1"/>
  <c r="AH74" i="11"/>
  <c r="AG74" i="11"/>
  <c r="AW73" i="11"/>
  <c r="AU73" i="11"/>
  <c r="AS73" i="11"/>
  <c r="AT73" i="11" s="1"/>
  <c r="AQ73" i="11"/>
  <c r="AM73" i="11"/>
  <c r="AN73" i="11" s="1"/>
  <c r="AJ73" i="11"/>
  <c r="AK73" i="11" s="1"/>
  <c r="AH73" i="11"/>
  <c r="AG73" i="11"/>
  <c r="AW72" i="11"/>
  <c r="AU72" i="11"/>
  <c r="AS72" i="11"/>
  <c r="AT72" i="11" s="1"/>
  <c r="AQ72" i="11"/>
  <c r="AM72" i="11"/>
  <c r="AN72" i="11" s="1"/>
  <c r="AJ72" i="11"/>
  <c r="AK72" i="11" s="1"/>
  <c r="AH72" i="11"/>
  <c r="AG72" i="11"/>
  <c r="AD72" i="11" s="1"/>
  <c r="AE72" i="11" s="1"/>
  <c r="AW71" i="11"/>
  <c r="AU71" i="11"/>
  <c r="AS71" i="11"/>
  <c r="AT71" i="11" s="1"/>
  <c r="AQ71" i="11"/>
  <c r="AM71" i="11"/>
  <c r="AN71" i="11" s="1"/>
  <c r="AJ71" i="11"/>
  <c r="AK71" i="11" s="1"/>
  <c r="AH71" i="11"/>
  <c r="AG71" i="11"/>
  <c r="AW70" i="11"/>
  <c r="AU70" i="11"/>
  <c r="AS70" i="11"/>
  <c r="AT70" i="11" s="1"/>
  <c r="AQ70" i="11"/>
  <c r="AM70" i="11"/>
  <c r="AN70" i="11" s="1"/>
  <c r="AJ70" i="11"/>
  <c r="AK70" i="11" s="1"/>
  <c r="AH70" i="11"/>
  <c r="AG70" i="11"/>
  <c r="AW69" i="11"/>
  <c r="AU69" i="11"/>
  <c r="AS69" i="11"/>
  <c r="AT69" i="11" s="1"/>
  <c r="AQ69" i="11"/>
  <c r="AM69" i="11"/>
  <c r="AN69" i="11" s="1"/>
  <c r="AJ69" i="11"/>
  <c r="AK69" i="11" s="1"/>
  <c r="AH69" i="11"/>
  <c r="AG69" i="11"/>
  <c r="AW68" i="11"/>
  <c r="AU68" i="11"/>
  <c r="AS68" i="11"/>
  <c r="AT68" i="11" s="1"/>
  <c r="AQ68" i="11"/>
  <c r="AM68" i="11"/>
  <c r="AN68" i="11" s="1"/>
  <c r="AJ68" i="11"/>
  <c r="AK68" i="11" s="1"/>
  <c r="AH68" i="11"/>
  <c r="AG68" i="11"/>
  <c r="AD68" i="11" s="1"/>
  <c r="AE68" i="11" s="1"/>
  <c r="AL68" i="11" s="1"/>
  <c r="AW67" i="11"/>
  <c r="AU67" i="11"/>
  <c r="AS67" i="11"/>
  <c r="AT67" i="11" s="1"/>
  <c r="AQ67" i="11"/>
  <c r="AM67" i="11"/>
  <c r="AN67" i="11" s="1"/>
  <c r="AJ67" i="11"/>
  <c r="AK67" i="11" s="1"/>
  <c r="AH67" i="11"/>
  <c r="AG67" i="11"/>
  <c r="AW66" i="11"/>
  <c r="AU66" i="11"/>
  <c r="AS66" i="11"/>
  <c r="AT66" i="11" s="1"/>
  <c r="AQ66" i="11"/>
  <c r="AM66" i="11"/>
  <c r="AN66" i="11" s="1"/>
  <c r="AJ66" i="11"/>
  <c r="AK66" i="11" s="1"/>
  <c r="AH66" i="11"/>
  <c r="AG66" i="11"/>
  <c r="AD66" i="11" s="1"/>
  <c r="AE66" i="11" s="1"/>
  <c r="AL66" i="11" s="1"/>
  <c r="AW65" i="11"/>
  <c r="AU65" i="11"/>
  <c r="AS65" i="11"/>
  <c r="AT65" i="11" s="1"/>
  <c r="AQ65" i="11"/>
  <c r="AM65" i="11"/>
  <c r="AN65" i="11" s="1"/>
  <c r="AJ65" i="11"/>
  <c r="AK65" i="11" s="1"/>
  <c r="AH65" i="11"/>
  <c r="AG65" i="11"/>
  <c r="AW64" i="11"/>
  <c r="AU64" i="11"/>
  <c r="AS64" i="11"/>
  <c r="AT64" i="11" s="1"/>
  <c r="AQ64" i="11"/>
  <c r="AM64" i="11"/>
  <c r="AN64" i="11" s="1"/>
  <c r="AJ64" i="11"/>
  <c r="AK64" i="11" s="1"/>
  <c r="AH64" i="11"/>
  <c r="AG64" i="11"/>
  <c r="AC64" i="11"/>
  <c r="AW63" i="11"/>
  <c r="AU63" i="11"/>
  <c r="AS63" i="11"/>
  <c r="AT63" i="11" s="1"/>
  <c r="AQ63" i="11"/>
  <c r="AM63" i="11"/>
  <c r="AN63" i="11" s="1"/>
  <c r="AJ63" i="11"/>
  <c r="AK63" i="11" s="1"/>
  <c r="AH63" i="11"/>
  <c r="AG63" i="11"/>
  <c r="AC63" i="11"/>
  <c r="AW62" i="11"/>
  <c r="AU62" i="11"/>
  <c r="AS62" i="11"/>
  <c r="AT62" i="11" s="1"/>
  <c r="AQ62" i="11"/>
  <c r="AM62" i="11"/>
  <c r="AN62" i="11" s="1"/>
  <c r="AJ62" i="11"/>
  <c r="AK62" i="11" s="1"/>
  <c r="AH62" i="11"/>
  <c r="AG62" i="11"/>
  <c r="AW61" i="11"/>
  <c r="AU61" i="11"/>
  <c r="AS61" i="11"/>
  <c r="AT61" i="11" s="1"/>
  <c r="AQ61" i="11"/>
  <c r="AM61" i="11"/>
  <c r="AN61" i="11" s="1"/>
  <c r="AJ61" i="11"/>
  <c r="AK61" i="11" s="1"/>
  <c r="AH61" i="11"/>
  <c r="AG61" i="11"/>
  <c r="AW60" i="11"/>
  <c r="AU60" i="11"/>
  <c r="AS60" i="11"/>
  <c r="AT60" i="11" s="1"/>
  <c r="AQ60" i="11"/>
  <c r="AM60" i="11"/>
  <c r="AN60" i="11" s="1"/>
  <c r="AJ60" i="11"/>
  <c r="AK60" i="11" s="1"/>
  <c r="AH60" i="11"/>
  <c r="AG60" i="11"/>
  <c r="AC60" i="11"/>
  <c r="AW59" i="11"/>
  <c r="AU59" i="11"/>
  <c r="AS59" i="11"/>
  <c r="AT59" i="11" s="1"/>
  <c r="AQ59" i="11"/>
  <c r="AM59" i="11"/>
  <c r="AN59" i="11" s="1"/>
  <c r="AJ59" i="11"/>
  <c r="AK59" i="11" s="1"/>
  <c r="AH59" i="11"/>
  <c r="AG59" i="11"/>
  <c r="AW58" i="11"/>
  <c r="AU58" i="11"/>
  <c r="AS58" i="11"/>
  <c r="AT58" i="11" s="1"/>
  <c r="AQ58" i="11"/>
  <c r="AM58" i="11"/>
  <c r="AN58" i="11" s="1"/>
  <c r="AJ58" i="11"/>
  <c r="AK58" i="11" s="1"/>
  <c r="AH58" i="11"/>
  <c r="AG58" i="11"/>
  <c r="AS57" i="11"/>
  <c r="AT57" i="11" s="1"/>
  <c r="AQ57" i="11"/>
  <c r="AM57" i="11"/>
  <c r="AN57" i="11" s="1"/>
  <c r="AJ57" i="11"/>
  <c r="AK57" i="11" s="1"/>
  <c r="AH57" i="11"/>
  <c r="AG57" i="11"/>
  <c r="AW56" i="11"/>
  <c r="AU56" i="11"/>
  <c r="AS56" i="11"/>
  <c r="AT56" i="11" s="1"/>
  <c r="AQ56" i="11"/>
  <c r="AM56" i="11"/>
  <c r="AN56" i="11" s="1"/>
  <c r="AJ56" i="11"/>
  <c r="AK56" i="11" s="1"/>
  <c r="AH56" i="11"/>
  <c r="AG56" i="11"/>
  <c r="AS55" i="11"/>
  <c r="AT55" i="11" s="1"/>
  <c r="AQ55" i="11"/>
  <c r="AM55" i="11"/>
  <c r="AN55" i="11" s="1"/>
  <c r="AJ55" i="11"/>
  <c r="AK55" i="11" s="1"/>
  <c r="AH55" i="11"/>
  <c r="AG55" i="11"/>
  <c r="AW54" i="11"/>
  <c r="AU54" i="11"/>
  <c r="AS54" i="11"/>
  <c r="AT54" i="11" s="1"/>
  <c r="AQ54" i="11"/>
  <c r="AM54" i="11"/>
  <c r="AN54" i="11" s="1"/>
  <c r="AJ54" i="11"/>
  <c r="AK54" i="11" s="1"/>
  <c r="AH54" i="11"/>
  <c r="AG54" i="11"/>
  <c r="AW53" i="11"/>
  <c r="AU53" i="11"/>
  <c r="AS53" i="11"/>
  <c r="AT53" i="11" s="1"/>
  <c r="AQ53" i="11"/>
  <c r="AM53" i="11"/>
  <c r="AN53" i="11" s="1"/>
  <c r="AJ53" i="11"/>
  <c r="AK53" i="11" s="1"/>
  <c r="AH53" i="11"/>
  <c r="AG53" i="11"/>
  <c r="AS52" i="11"/>
  <c r="AT52" i="11" s="1"/>
  <c r="AQ52" i="11"/>
  <c r="AM52" i="11"/>
  <c r="AN52" i="11" s="1"/>
  <c r="AJ52" i="11"/>
  <c r="AK52" i="11" s="1"/>
  <c r="AH52" i="11"/>
  <c r="AG52" i="11"/>
  <c r="AC52" i="11"/>
  <c r="AW51" i="11"/>
  <c r="AU51" i="11"/>
  <c r="AS51" i="11"/>
  <c r="AT51" i="11" s="1"/>
  <c r="AQ51" i="11"/>
  <c r="AM51" i="11"/>
  <c r="AN51" i="11" s="1"/>
  <c r="AJ51" i="11"/>
  <c r="AK51" i="11" s="1"/>
  <c r="AH51" i="11"/>
  <c r="AG51" i="11"/>
  <c r="AC51" i="11"/>
  <c r="AW50" i="11"/>
  <c r="AU50" i="11"/>
  <c r="AS50" i="11"/>
  <c r="AT50" i="11" s="1"/>
  <c r="AQ50" i="11"/>
  <c r="AM50" i="11"/>
  <c r="AN50" i="11" s="1"/>
  <c r="AJ50" i="11"/>
  <c r="AK50" i="11" s="1"/>
  <c r="AH50" i="11"/>
  <c r="AG50" i="11"/>
  <c r="AC50" i="11"/>
  <c r="AW49" i="11"/>
  <c r="AU49" i="11"/>
  <c r="AS49" i="11"/>
  <c r="AT49" i="11" s="1"/>
  <c r="AQ49" i="11"/>
  <c r="AM49" i="11"/>
  <c r="AN49" i="11" s="1"/>
  <c r="AJ49" i="11"/>
  <c r="AK49" i="11" s="1"/>
  <c r="AH49" i="11"/>
  <c r="AG49" i="11"/>
  <c r="AS48" i="11"/>
  <c r="AT48" i="11" s="1"/>
  <c r="AQ48" i="11"/>
  <c r="AM48" i="11"/>
  <c r="AN48" i="11" s="1"/>
  <c r="AJ48" i="11"/>
  <c r="AK48" i="11" s="1"/>
  <c r="AH48" i="11"/>
  <c r="AG48" i="11"/>
  <c r="AW47" i="11"/>
  <c r="AU47" i="11"/>
  <c r="AS47" i="11"/>
  <c r="AT47" i="11" s="1"/>
  <c r="AQ47" i="11"/>
  <c r="AM47" i="11"/>
  <c r="AN47" i="11" s="1"/>
  <c r="AJ47" i="11"/>
  <c r="AK47" i="11" s="1"/>
  <c r="AH47" i="11"/>
  <c r="AG47" i="11"/>
  <c r="AS46" i="11"/>
  <c r="AT46" i="11" s="1"/>
  <c r="AQ46" i="11"/>
  <c r="AM46" i="11"/>
  <c r="AN46" i="11" s="1"/>
  <c r="AJ46" i="11"/>
  <c r="AK46" i="11" s="1"/>
  <c r="AH46" i="11"/>
  <c r="AG46" i="11"/>
  <c r="AW45" i="11"/>
  <c r="AU45" i="11"/>
  <c r="AS45" i="11"/>
  <c r="AT45" i="11" s="1"/>
  <c r="AQ45" i="11"/>
  <c r="AM45" i="11"/>
  <c r="AN45" i="11" s="1"/>
  <c r="AJ45" i="11"/>
  <c r="AK45" i="11" s="1"/>
  <c r="AH45" i="11"/>
  <c r="AG45" i="11"/>
  <c r="AS44" i="11"/>
  <c r="AT44" i="11" s="1"/>
  <c r="AQ44" i="11"/>
  <c r="AM44" i="11"/>
  <c r="AN44" i="11" s="1"/>
  <c r="AJ44" i="11"/>
  <c r="AK44" i="11" s="1"/>
  <c r="AH44" i="11"/>
  <c r="AG44" i="11"/>
  <c r="AW43" i="11"/>
  <c r="AU43" i="11"/>
  <c r="AS43" i="11"/>
  <c r="AT43" i="11" s="1"/>
  <c r="AQ43" i="11"/>
  <c r="AM43" i="11"/>
  <c r="AN43" i="11" s="1"/>
  <c r="AJ43" i="11"/>
  <c r="AK43" i="11" s="1"/>
  <c r="AH43" i="11"/>
  <c r="AG43" i="11"/>
  <c r="AS42" i="11"/>
  <c r="AT42" i="11" s="1"/>
  <c r="AQ42" i="11"/>
  <c r="AM42" i="11"/>
  <c r="AN42" i="11" s="1"/>
  <c r="AJ42" i="11"/>
  <c r="AK42" i="11" s="1"/>
  <c r="AH42" i="11"/>
  <c r="AG42" i="11"/>
  <c r="AS41" i="11"/>
  <c r="AT41" i="11" s="1"/>
  <c r="AQ41" i="11"/>
  <c r="AM41" i="11"/>
  <c r="AN41" i="11" s="1"/>
  <c r="AJ41" i="11"/>
  <c r="AK41" i="11" s="1"/>
  <c r="AH41" i="11"/>
  <c r="AG41" i="11"/>
  <c r="AW40" i="11"/>
  <c r="AU40" i="11"/>
  <c r="AS40" i="11"/>
  <c r="AT40" i="11" s="1"/>
  <c r="AQ40" i="11"/>
  <c r="AM40" i="11"/>
  <c r="AN40" i="11" s="1"/>
  <c r="AJ40" i="11"/>
  <c r="AK40" i="11" s="1"/>
  <c r="AH40" i="11"/>
  <c r="AG40" i="11"/>
  <c r="AW39" i="11"/>
  <c r="AU39" i="11"/>
  <c r="AS39" i="11"/>
  <c r="AT39" i="11" s="1"/>
  <c r="AQ39" i="11"/>
  <c r="AM39" i="11"/>
  <c r="AN39" i="11" s="1"/>
  <c r="AJ39" i="11"/>
  <c r="AK39" i="11" s="1"/>
  <c r="AH39" i="11"/>
  <c r="AG39" i="11"/>
  <c r="AC39" i="11"/>
  <c r="AW38" i="11"/>
  <c r="AU38" i="11"/>
  <c r="AS38" i="11"/>
  <c r="AT38" i="11" s="1"/>
  <c r="AQ38" i="11"/>
  <c r="AM38" i="11"/>
  <c r="AN38" i="11" s="1"/>
  <c r="AJ38" i="11"/>
  <c r="AK38" i="11" s="1"/>
  <c r="AH38" i="11"/>
  <c r="AG38" i="11"/>
  <c r="AC38" i="11"/>
  <c r="AS37" i="11"/>
  <c r="AT37" i="11" s="1"/>
  <c r="AQ37" i="11"/>
  <c r="AM37" i="11"/>
  <c r="AN37" i="11" s="1"/>
  <c r="AJ37" i="11"/>
  <c r="AK37" i="11" s="1"/>
  <c r="AH37" i="11"/>
  <c r="AG37" i="11"/>
  <c r="AW36" i="11"/>
  <c r="AU36" i="11"/>
  <c r="AS36" i="11"/>
  <c r="AT36" i="11" s="1"/>
  <c r="AQ36" i="11"/>
  <c r="AM36" i="11"/>
  <c r="AN36" i="11" s="1"/>
  <c r="AJ36" i="11"/>
  <c r="AK36" i="11" s="1"/>
  <c r="AH36" i="11"/>
  <c r="AG36" i="11"/>
  <c r="AS35" i="11"/>
  <c r="AT35" i="11" s="1"/>
  <c r="AQ35" i="11"/>
  <c r="AM35" i="11"/>
  <c r="AN35" i="11" s="1"/>
  <c r="AJ35" i="11"/>
  <c r="AK35" i="11" s="1"/>
  <c r="AH35" i="11"/>
  <c r="AG35" i="11"/>
  <c r="AW34" i="11"/>
  <c r="AU34" i="11"/>
  <c r="AS34" i="11"/>
  <c r="AT34" i="11" s="1"/>
  <c r="AQ34" i="11"/>
  <c r="AM34" i="11"/>
  <c r="AN34" i="11" s="1"/>
  <c r="AJ34" i="11"/>
  <c r="AK34" i="11" s="1"/>
  <c r="AH34" i="11"/>
  <c r="AG34" i="11"/>
  <c r="AS33" i="11"/>
  <c r="AT33" i="11" s="1"/>
  <c r="AQ33" i="11"/>
  <c r="AM33" i="11"/>
  <c r="AN33" i="11" s="1"/>
  <c r="AJ33" i="11"/>
  <c r="AK33" i="11" s="1"/>
  <c r="AH33" i="11"/>
  <c r="AG33" i="11"/>
  <c r="AS32" i="11"/>
  <c r="AT32" i="11" s="1"/>
  <c r="AQ32" i="11"/>
  <c r="AM32" i="11"/>
  <c r="AN32" i="11" s="1"/>
  <c r="AJ32" i="11"/>
  <c r="AK32" i="11" s="1"/>
  <c r="AH32" i="11"/>
  <c r="AG32" i="11"/>
  <c r="AS31" i="11"/>
  <c r="AT31" i="11" s="1"/>
  <c r="AQ31" i="11"/>
  <c r="AM31" i="11"/>
  <c r="AN31" i="11" s="1"/>
  <c r="AJ31" i="11"/>
  <c r="AK31" i="11" s="1"/>
  <c r="AH31" i="11"/>
  <c r="AG31" i="11"/>
  <c r="AW30" i="11"/>
  <c r="AU30" i="11"/>
  <c r="AS30" i="11"/>
  <c r="AT30" i="11" s="1"/>
  <c r="AQ30" i="11"/>
  <c r="AM30" i="11"/>
  <c r="AN30" i="11" s="1"/>
  <c r="AJ30" i="11"/>
  <c r="AK30" i="11" s="1"/>
  <c r="AH30" i="11"/>
  <c r="AG30" i="11"/>
  <c r="AS29" i="11"/>
  <c r="AT29" i="11" s="1"/>
  <c r="AQ29" i="11"/>
  <c r="AM29" i="11"/>
  <c r="AN29" i="11" s="1"/>
  <c r="AJ29" i="11"/>
  <c r="AK29" i="11" s="1"/>
  <c r="AH29" i="11"/>
  <c r="AG29" i="11"/>
  <c r="AW28" i="11"/>
  <c r="AU28" i="11"/>
  <c r="AS28" i="11"/>
  <c r="AT28" i="11" s="1"/>
  <c r="AQ28" i="11"/>
  <c r="AM28" i="11"/>
  <c r="AN28" i="11" s="1"/>
  <c r="AJ28" i="11"/>
  <c r="AK28" i="11" s="1"/>
  <c r="AH28" i="11"/>
  <c r="AG28" i="11"/>
  <c r="AS27" i="11"/>
  <c r="AT27" i="11" s="1"/>
  <c r="AQ27" i="11"/>
  <c r="AM27" i="11"/>
  <c r="AN27" i="11" s="1"/>
  <c r="AJ27" i="11"/>
  <c r="AK27" i="11" s="1"/>
  <c r="AH27" i="11"/>
  <c r="AG27" i="11"/>
  <c r="AS26" i="11"/>
  <c r="AT26" i="11" s="1"/>
  <c r="AQ26" i="11"/>
  <c r="AM26" i="11"/>
  <c r="AN26" i="11" s="1"/>
  <c r="AJ26" i="11"/>
  <c r="AK26" i="11" s="1"/>
  <c r="AH26" i="11"/>
  <c r="AG26" i="11"/>
  <c r="AS25" i="11"/>
  <c r="AT25" i="11" s="1"/>
  <c r="AQ25" i="11"/>
  <c r="AM25" i="11"/>
  <c r="AN25" i="11" s="1"/>
  <c r="AJ25" i="11"/>
  <c r="AK25" i="11" s="1"/>
  <c r="AH25" i="11"/>
  <c r="AG25" i="11"/>
  <c r="AS24" i="11"/>
  <c r="AT24" i="11" s="1"/>
  <c r="AQ24" i="11"/>
  <c r="AM24" i="11"/>
  <c r="AN24" i="11" s="1"/>
  <c r="AJ24" i="11"/>
  <c r="AK24" i="11" s="1"/>
  <c r="AH24" i="11"/>
  <c r="AG24" i="11"/>
  <c r="AW23" i="11"/>
  <c r="AU23" i="11"/>
  <c r="AS23" i="11"/>
  <c r="AT23" i="11" s="1"/>
  <c r="AQ23" i="11"/>
  <c r="AM23" i="11"/>
  <c r="AN23" i="11" s="1"/>
  <c r="AJ23" i="11"/>
  <c r="AK23" i="11" s="1"/>
  <c r="AH23" i="11"/>
  <c r="AG23" i="11"/>
  <c r="AB23" i="11"/>
  <c r="AW22" i="11"/>
  <c r="AU22" i="11"/>
  <c r="AS22" i="11"/>
  <c r="AT22" i="11" s="1"/>
  <c r="AQ22" i="11"/>
  <c r="AM22" i="11"/>
  <c r="AN22" i="11" s="1"/>
  <c r="AJ22" i="11"/>
  <c r="AK22" i="11" s="1"/>
  <c r="AH22" i="11"/>
  <c r="AG22" i="11"/>
  <c r="AB22" i="11"/>
  <c r="AW21" i="11"/>
  <c r="AU21" i="11"/>
  <c r="AS21" i="11"/>
  <c r="AT21" i="11" s="1"/>
  <c r="AQ21" i="11"/>
  <c r="AM21" i="11"/>
  <c r="AN21" i="11" s="1"/>
  <c r="AJ21" i="11"/>
  <c r="AK21" i="11" s="1"/>
  <c r="AH21" i="11"/>
  <c r="AG21" i="11"/>
  <c r="AB21" i="11"/>
  <c r="AW20" i="11"/>
  <c r="AU20" i="11"/>
  <c r="AS20" i="11"/>
  <c r="AT20" i="11" s="1"/>
  <c r="AQ20" i="11"/>
  <c r="AM20" i="11"/>
  <c r="AN20" i="11" s="1"/>
  <c r="AJ20" i="11"/>
  <c r="AK20" i="11" s="1"/>
  <c r="AH20" i="11"/>
  <c r="AG20" i="11"/>
  <c r="AB20" i="11"/>
  <c r="AW19" i="11"/>
  <c r="AU19" i="11"/>
  <c r="AS19" i="11"/>
  <c r="AT19" i="11" s="1"/>
  <c r="AQ19" i="11"/>
  <c r="AM19" i="11"/>
  <c r="AN19" i="11" s="1"/>
  <c r="AJ19" i="11"/>
  <c r="AK19" i="11" s="1"/>
  <c r="AH19" i="11"/>
  <c r="AG19" i="11"/>
  <c r="AW18" i="11"/>
  <c r="AU18" i="11"/>
  <c r="AS18" i="11"/>
  <c r="AT18" i="11" s="1"/>
  <c r="AQ18" i="11"/>
  <c r="AM18" i="11"/>
  <c r="AN18" i="11" s="1"/>
  <c r="AJ18" i="11"/>
  <c r="AK18" i="11" s="1"/>
  <c r="AH18" i="11"/>
  <c r="AG18" i="11"/>
  <c r="AC18" i="11"/>
  <c r="AW17" i="11"/>
  <c r="AU17" i="11"/>
  <c r="AS17" i="11"/>
  <c r="AT17" i="11" s="1"/>
  <c r="AQ17" i="11"/>
  <c r="AM17" i="11"/>
  <c r="AN17" i="11" s="1"/>
  <c r="AJ17" i="11"/>
  <c r="AK17" i="11" s="1"/>
  <c r="AH17" i="11"/>
  <c r="AG17" i="11"/>
  <c r="AC17" i="11"/>
  <c r="AW16" i="11"/>
  <c r="AU16" i="11"/>
  <c r="AS16" i="11"/>
  <c r="AT16" i="11" s="1"/>
  <c r="AQ16" i="11"/>
  <c r="AM16" i="11"/>
  <c r="AN16" i="11" s="1"/>
  <c r="AJ16" i="11"/>
  <c r="AK16" i="11" s="1"/>
  <c r="AH16" i="11"/>
  <c r="AG16" i="11"/>
  <c r="AC16" i="11"/>
  <c r="AW15" i="11"/>
  <c r="AU15" i="11"/>
  <c r="AS15" i="11"/>
  <c r="AT15" i="11" s="1"/>
  <c r="AQ15" i="11"/>
  <c r="AM15" i="11"/>
  <c r="AN15" i="11" s="1"/>
  <c r="AJ15" i="11"/>
  <c r="AK15" i="11" s="1"/>
  <c r="AH15" i="11"/>
  <c r="AG15" i="11"/>
  <c r="AC15" i="11"/>
  <c r="AS14" i="11"/>
  <c r="AT14" i="11" s="1"/>
  <c r="AQ14" i="11"/>
  <c r="AM14" i="11"/>
  <c r="AN14" i="11" s="1"/>
  <c r="AJ14" i="11"/>
  <c r="AK14" i="11" s="1"/>
  <c r="AH14" i="11"/>
  <c r="AG14" i="11"/>
  <c r="AC14" i="11"/>
  <c r="AW13" i="11"/>
  <c r="AU13" i="11"/>
  <c r="AS13" i="11"/>
  <c r="AT13" i="11" s="1"/>
  <c r="AQ13" i="11"/>
  <c r="AM13" i="11"/>
  <c r="AN13" i="11" s="1"/>
  <c r="AJ13" i="11"/>
  <c r="AK13" i="11" s="1"/>
  <c r="AH13" i="11"/>
  <c r="AG13" i="11"/>
  <c r="AS12" i="11"/>
  <c r="AT12" i="11" s="1"/>
  <c r="AQ12" i="11"/>
  <c r="AM12" i="11"/>
  <c r="AN12" i="11" s="1"/>
  <c r="AJ12" i="11"/>
  <c r="AK12" i="11" s="1"/>
  <c r="AH12" i="11"/>
  <c r="AG12" i="11"/>
  <c r="AC12" i="11"/>
  <c r="AS11" i="11"/>
  <c r="AT11" i="11" s="1"/>
  <c r="AQ11" i="11"/>
  <c r="AM11" i="11"/>
  <c r="AN11" i="11" s="1"/>
  <c r="AJ11" i="11"/>
  <c r="AK11" i="11" s="1"/>
  <c r="AH11" i="11"/>
  <c r="AG11" i="11"/>
  <c r="AC11" i="11"/>
  <c r="AW10" i="11"/>
  <c r="AU10" i="11"/>
  <c r="AS10" i="11"/>
  <c r="AT10" i="11" s="1"/>
  <c r="AQ10" i="11"/>
  <c r="AM10" i="11"/>
  <c r="AN10" i="11" s="1"/>
  <c r="AJ10" i="11"/>
  <c r="AK10" i="11" s="1"/>
  <c r="AH10" i="11"/>
  <c r="AG10" i="11"/>
  <c r="AC10" i="11"/>
  <c r="AW9" i="11"/>
  <c r="AU9" i="11"/>
  <c r="AS9" i="11"/>
  <c r="AT9" i="11" s="1"/>
  <c r="AQ9" i="11"/>
  <c r="AM9" i="11"/>
  <c r="AN9" i="11" s="1"/>
  <c r="AJ9" i="11"/>
  <c r="AK9" i="11" s="1"/>
  <c r="AH9" i="11"/>
  <c r="AG9" i="11"/>
  <c r="AC9" i="11"/>
  <c r="AS8" i="11"/>
  <c r="AT8" i="11" s="1"/>
  <c r="AQ8" i="11"/>
  <c r="AM8" i="11"/>
  <c r="AN8" i="11" s="1"/>
  <c r="AJ8" i="11"/>
  <c r="AK8" i="11" s="1"/>
  <c r="AH8" i="11"/>
  <c r="AG8" i="11"/>
  <c r="AC8" i="11"/>
  <c r="AW7" i="11"/>
  <c r="AU7" i="11"/>
  <c r="AS7" i="11"/>
  <c r="AT7" i="11" s="1"/>
  <c r="AQ7" i="11"/>
  <c r="AM7" i="11"/>
  <c r="AN7" i="11" s="1"/>
  <c r="AJ7" i="11"/>
  <c r="AK7" i="11" s="1"/>
  <c r="AH7" i="11"/>
  <c r="AG7" i="11"/>
  <c r="AC7" i="11"/>
  <c r="AS6" i="11"/>
  <c r="AT6" i="11" s="1"/>
  <c r="AQ6" i="11"/>
  <c r="AM6" i="11"/>
  <c r="AN6" i="11" s="1"/>
  <c r="AJ6" i="11"/>
  <c r="AK6" i="11" s="1"/>
  <c r="AH6" i="11"/>
  <c r="AG6" i="11"/>
  <c r="AC6" i="11"/>
  <c r="AW5" i="11"/>
  <c r="AU5" i="11"/>
  <c r="AS5" i="11"/>
  <c r="AT5" i="11" s="1"/>
  <c r="AQ5" i="11"/>
  <c r="AM5" i="11"/>
  <c r="AN5" i="11" s="1"/>
  <c r="AJ5" i="11"/>
  <c r="AK5" i="11" s="1"/>
  <c r="AH5" i="11"/>
  <c r="AG5" i="11"/>
  <c r="AC5" i="11"/>
  <c r="H33" i="10"/>
  <c r="H32" i="10"/>
  <c r="H31" i="10"/>
  <c r="H30" i="10"/>
  <c r="K21" i="10"/>
  <c r="K20" i="10"/>
  <c r="K19" i="10"/>
  <c r="K18" i="10"/>
  <c r="K10" i="10"/>
  <c r="K9" i="10"/>
  <c r="K8" i="10"/>
  <c r="K7" i="10"/>
  <c r="B31" i="10"/>
  <c r="B30" i="10"/>
  <c r="B33" i="10"/>
  <c r="B32" i="10"/>
  <c r="E21" i="10"/>
  <c r="E20" i="10"/>
  <c r="E10" i="10"/>
  <c r="E9" i="10"/>
  <c r="E8" i="10"/>
  <c r="E19" i="10"/>
  <c r="E7" i="10"/>
  <c r="E18" i="10"/>
  <c r="AD49" i="11" l="1"/>
  <c r="AE49" i="11" s="1"/>
  <c r="AD13" i="11"/>
  <c r="AE13" i="11" s="1"/>
  <c r="AL13" i="11" s="1"/>
  <c r="AD22" i="11"/>
  <c r="AE22" i="11" s="1"/>
  <c r="AD24" i="11"/>
  <c r="AE24" i="11" s="1"/>
  <c r="AL24" i="11" s="1"/>
  <c r="AO24" i="11" s="1"/>
  <c r="AD37" i="11"/>
  <c r="AE37" i="11" s="1"/>
  <c r="AL37" i="11" s="1"/>
  <c r="AO37" i="11" s="1"/>
  <c r="AD93" i="11"/>
  <c r="AE93" i="11" s="1"/>
  <c r="AD139" i="11"/>
  <c r="AE139" i="11" s="1"/>
  <c r="AL139" i="11" s="1"/>
  <c r="AO139" i="11" s="1"/>
  <c r="AD46" i="11"/>
  <c r="AE46" i="11" s="1"/>
  <c r="AL46" i="11" s="1"/>
  <c r="AO46" i="11" s="1"/>
  <c r="AD149" i="11"/>
  <c r="AE149" i="11" s="1"/>
  <c r="AL149" i="11" s="1"/>
  <c r="AO149" i="11" s="1"/>
  <c r="AZ149" i="11" s="1"/>
  <c r="AD130" i="11"/>
  <c r="AE130" i="11" s="1"/>
  <c r="AD108" i="11"/>
  <c r="AE108" i="11" s="1"/>
  <c r="AD64" i="11"/>
  <c r="AE64" i="11" s="1"/>
  <c r="AD28" i="11"/>
  <c r="AE28" i="11" s="1"/>
  <c r="AL28" i="11" s="1"/>
  <c r="AD74" i="11"/>
  <c r="AE74" i="11" s="1"/>
  <c r="AL74" i="11" s="1"/>
  <c r="AD106" i="11"/>
  <c r="AE106" i="11" s="1"/>
  <c r="AL106" i="11" s="1"/>
  <c r="AO106" i="11" s="1"/>
  <c r="AD138" i="11"/>
  <c r="AE138" i="11" s="1"/>
  <c r="AL138" i="11" s="1"/>
  <c r="AO138" i="11" s="1"/>
  <c r="AY10" i="15"/>
  <c r="AW16" i="15"/>
  <c r="AX16" i="15" s="1"/>
  <c r="AY16" i="15" s="1"/>
  <c r="AX17" i="15"/>
  <c r="AY17" i="15" s="1"/>
  <c r="AY19" i="15"/>
  <c r="AX12" i="15"/>
  <c r="AY12" i="15" s="1"/>
  <c r="AD14" i="11"/>
  <c r="AE14" i="11" s="1"/>
  <c r="AL14" i="11" s="1"/>
  <c r="AO14" i="11" s="1"/>
  <c r="AD30" i="11"/>
  <c r="AE30" i="11" s="1"/>
  <c r="AL30" i="11" s="1"/>
  <c r="AO30" i="11" s="1"/>
  <c r="AZ30" i="11" s="1"/>
  <c r="BA30" i="11" s="1"/>
  <c r="BB30" i="11" s="1"/>
  <c r="BC30" i="11" s="1"/>
  <c r="AD59" i="11"/>
  <c r="AE59" i="11" s="1"/>
  <c r="AL59" i="11" s="1"/>
  <c r="AO59" i="11" s="1"/>
  <c r="AZ59" i="11" s="1"/>
  <c r="BA59" i="11" s="1"/>
  <c r="BB59" i="11" s="1"/>
  <c r="AD87" i="11"/>
  <c r="AE87" i="11" s="1"/>
  <c r="AL87" i="11" s="1"/>
  <c r="AD148" i="11"/>
  <c r="AE148" i="11" s="1"/>
  <c r="AL148" i="11" s="1"/>
  <c r="AL22" i="11"/>
  <c r="AD23" i="11"/>
  <c r="AE23" i="11" s="1"/>
  <c r="AL23" i="11" s="1"/>
  <c r="AO23" i="11" s="1"/>
  <c r="AZ23" i="11" s="1"/>
  <c r="BA23" i="11" s="1"/>
  <c r="AD19" i="11"/>
  <c r="AE19" i="11" s="1"/>
  <c r="AL19" i="11" s="1"/>
  <c r="AO74" i="11"/>
  <c r="AZ74" i="11" s="1"/>
  <c r="AD128" i="11"/>
  <c r="AE128" i="11" s="1"/>
  <c r="AL128" i="11" s="1"/>
  <c r="AO128" i="11" s="1"/>
  <c r="AZ128" i="11" s="1"/>
  <c r="BA128" i="11" s="1"/>
  <c r="BB128" i="11" s="1"/>
  <c r="AD129" i="11"/>
  <c r="AE129" i="11" s="1"/>
  <c r="AL129" i="11" s="1"/>
  <c r="AO129" i="11" s="1"/>
  <c r="AZ129" i="11" s="1"/>
  <c r="AD137" i="11"/>
  <c r="AE137" i="11" s="1"/>
  <c r="AL137" i="11" s="1"/>
  <c r="AD141" i="11"/>
  <c r="AE141" i="11" s="1"/>
  <c r="AL141" i="11" s="1"/>
  <c r="AD34" i="11"/>
  <c r="AD140" i="11"/>
  <c r="AE140" i="11" s="1"/>
  <c r="AL140" i="11" s="1"/>
  <c r="AO140" i="11" s="1"/>
  <c r="AZ140" i="11" s="1"/>
  <c r="AD25" i="11"/>
  <c r="AE25" i="11" s="1"/>
  <c r="AL25" i="11" s="1"/>
  <c r="AD31" i="11"/>
  <c r="AE31" i="11" s="1"/>
  <c r="AL31" i="11" s="1"/>
  <c r="AO31" i="11" s="1"/>
  <c r="AL49" i="11"/>
  <c r="AO49" i="11" s="1"/>
  <c r="AZ49" i="11" s="1"/>
  <c r="BA49" i="11" s="1"/>
  <c r="BB49" i="11" s="1"/>
  <c r="AD109" i="11"/>
  <c r="AE109" i="11" s="1"/>
  <c r="AL109" i="11" s="1"/>
  <c r="AO109" i="11" s="1"/>
  <c r="AD29" i="11"/>
  <c r="AE29" i="11" s="1"/>
  <c r="AD36" i="11"/>
  <c r="AD126" i="11"/>
  <c r="AE126" i="11" s="1"/>
  <c r="AL126" i="11" s="1"/>
  <c r="AO126" i="11" s="1"/>
  <c r="AO68" i="11"/>
  <c r="AZ68" i="11" s="1"/>
  <c r="AD53" i="11"/>
  <c r="AE53" i="11" s="1"/>
  <c r="AL53" i="11" s="1"/>
  <c r="AO53" i="11" s="1"/>
  <c r="AZ53" i="11" s="1"/>
  <c r="BA53" i="11" s="1"/>
  <c r="BB53" i="11" s="1"/>
  <c r="BC53" i="11" s="1"/>
  <c r="AD67" i="11"/>
  <c r="AE67" i="11" s="1"/>
  <c r="AL67" i="11" s="1"/>
  <c r="AO67" i="11" s="1"/>
  <c r="AZ67" i="11" s="1"/>
  <c r="AD84" i="11"/>
  <c r="AE84" i="11" s="1"/>
  <c r="AL84" i="11" s="1"/>
  <c r="AO84" i="11" s="1"/>
  <c r="AZ84" i="11" s="1"/>
  <c r="AD90" i="11"/>
  <c r="AE90" i="11" s="1"/>
  <c r="AL90" i="11" s="1"/>
  <c r="AO90" i="11" s="1"/>
  <c r="AZ90" i="11" s="1"/>
  <c r="AD96" i="11"/>
  <c r="AE96" i="11" s="1"/>
  <c r="AL96" i="11" s="1"/>
  <c r="AO96" i="11" s="1"/>
  <c r="AD97" i="11"/>
  <c r="AE97" i="11" s="1"/>
  <c r="AL97" i="11" s="1"/>
  <c r="AO97" i="11" s="1"/>
  <c r="AD113" i="11"/>
  <c r="AE113" i="11" s="1"/>
  <c r="AL113" i="11" s="1"/>
  <c r="AO113" i="11" s="1"/>
  <c r="AD127" i="11"/>
  <c r="AE127" i="11" s="1"/>
  <c r="AL127" i="11" s="1"/>
  <c r="AO127" i="11" s="1"/>
  <c r="AZ127" i="11" s="1"/>
  <c r="BA127" i="11" s="1"/>
  <c r="BB127" i="11" s="1"/>
  <c r="BC127" i="11" s="1"/>
  <c r="AL64" i="11"/>
  <c r="AL72" i="11"/>
  <c r="AO72" i="11" s="1"/>
  <c r="AZ72" i="11" s="1"/>
  <c r="AL93" i="11"/>
  <c r="AO93" i="11" s="1"/>
  <c r="AZ93" i="11" s="1"/>
  <c r="BA93" i="11" s="1"/>
  <c r="AD21" i="11"/>
  <c r="AE21" i="11" s="1"/>
  <c r="AL21" i="11" s="1"/>
  <c r="AO21" i="11" s="1"/>
  <c r="AZ21" i="11" s="1"/>
  <c r="BA21" i="11" s="1"/>
  <c r="AD33" i="11"/>
  <c r="AD71" i="11"/>
  <c r="AE71" i="11" s="1"/>
  <c r="AL71" i="11" s="1"/>
  <c r="AD75" i="11"/>
  <c r="AE75" i="11" s="1"/>
  <c r="AL75" i="11" s="1"/>
  <c r="AO75" i="11" s="1"/>
  <c r="AZ75" i="11" s="1"/>
  <c r="AD77" i="11"/>
  <c r="AE77" i="11" s="1"/>
  <c r="AL77" i="11" s="1"/>
  <c r="AO77" i="11" s="1"/>
  <c r="AZ77" i="11" s="1"/>
  <c r="AD78" i="11"/>
  <c r="AE78" i="11" s="1"/>
  <c r="AL78" i="11" s="1"/>
  <c r="AO78" i="11" s="1"/>
  <c r="AZ78" i="11" s="1"/>
  <c r="AD80" i="11"/>
  <c r="AE80" i="11" s="1"/>
  <c r="AL80" i="11" s="1"/>
  <c r="AO80" i="11" s="1"/>
  <c r="AZ80" i="11" s="1"/>
  <c r="AD131" i="11"/>
  <c r="AE131" i="11" s="1"/>
  <c r="AL131" i="11" s="1"/>
  <c r="AO131" i="11" s="1"/>
  <c r="AZ131" i="11" s="1"/>
  <c r="AD147" i="11"/>
  <c r="AE147" i="11" s="1"/>
  <c r="AL147" i="11" s="1"/>
  <c r="AO147" i="11" s="1"/>
  <c r="AZ147" i="11" s="1"/>
  <c r="AD5" i="11"/>
  <c r="AE5" i="11" s="1"/>
  <c r="AL5" i="11" s="1"/>
  <c r="AO5" i="11" s="1"/>
  <c r="AZ5" i="11" s="1"/>
  <c r="BA5" i="11" s="1"/>
  <c r="BB5" i="11" s="1"/>
  <c r="BC5" i="11" s="1"/>
  <c r="AD6" i="11"/>
  <c r="AE6" i="11" s="1"/>
  <c r="AL6" i="11" s="1"/>
  <c r="AO6" i="11" s="1"/>
  <c r="AD122" i="11"/>
  <c r="AE122" i="11" s="1"/>
  <c r="AL122" i="11" s="1"/>
  <c r="AO122" i="11" s="1"/>
  <c r="AL145" i="11"/>
  <c r="AO145" i="11" s="1"/>
  <c r="AD26" i="11"/>
  <c r="AE26" i="11" s="1"/>
  <c r="AL26" i="11" s="1"/>
  <c r="AO26" i="11" s="1"/>
  <c r="AD32" i="11"/>
  <c r="AO66" i="11"/>
  <c r="AZ66" i="11" s="1"/>
  <c r="AO13" i="11"/>
  <c r="AZ13" i="11" s="1"/>
  <c r="BA13" i="11" s="1"/>
  <c r="AL108" i="11"/>
  <c r="AO108" i="11" s="1"/>
  <c r="AL130" i="11"/>
  <c r="AO130" i="11" s="1"/>
  <c r="AZ130" i="11" s="1"/>
  <c r="AO28" i="11"/>
  <c r="AZ28" i="11" s="1"/>
  <c r="BA28" i="11" s="1"/>
  <c r="BB28" i="11" s="1"/>
  <c r="BC28" i="11" s="1"/>
  <c r="AD119" i="11"/>
  <c r="AE119" i="11" s="1"/>
  <c r="AL119" i="11" s="1"/>
  <c r="AO119" i="11" s="1"/>
  <c r="AO137" i="11"/>
  <c r="AZ137" i="11" s="1"/>
  <c r="AD92" i="11"/>
  <c r="AE92" i="11" s="1"/>
  <c r="AL92" i="11" s="1"/>
  <c r="AO92" i="11" s="1"/>
  <c r="AZ92" i="11" s="1"/>
  <c r="BA92" i="11" s="1"/>
  <c r="AD94" i="11"/>
  <c r="AE94" i="11" s="1"/>
  <c r="AL94" i="11" s="1"/>
  <c r="AO94" i="11" s="1"/>
  <c r="AZ94" i="11" s="1"/>
  <c r="BA94" i="11" s="1"/>
  <c r="AD134" i="11"/>
  <c r="AE134" i="11" s="1"/>
  <c r="AL134" i="11" s="1"/>
  <c r="AO134" i="11" s="1"/>
  <c r="AD11" i="11"/>
  <c r="AE11" i="11" s="1"/>
  <c r="AL11" i="11" s="1"/>
  <c r="AO11" i="11" s="1"/>
  <c r="AD88" i="11"/>
  <c r="AE88" i="11" s="1"/>
  <c r="AL88" i="11" s="1"/>
  <c r="AO88" i="11" s="1"/>
  <c r="AZ88" i="11" s="1"/>
  <c r="AD98" i="11"/>
  <c r="AE98" i="11" s="1"/>
  <c r="AL98" i="11" s="1"/>
  <c r="AO98" i="11" s="1"/>
  <c r="AD101" i="11"/>
  <c r="AE101" i="11" s="1"/>
  <c r="AL101" i="11" s="1"/>
  <c r="AO101" i="11" s="1"/>
  <c r="AD112" i="11"/>
  <c r="AE112" i="11" s="1"/>
  <c r="AL112" i="11" s="1"/>
  <c r="AO112" i="11" s="1"/>
  <c r="AD123" i="11"/>
  <c r="AE123" i="11" s="1"/>
  <c r="AL123" i="11" s="1"/>
  <c r="AD132" i="11"/>
  <c r="AD95" i="11"/>
  <c r="AE95" i="11" s="1"/>
  <c r="AL95" i="11" s="1"/>
  <c r="AO95" i="11" s="1"/>
  <c r="AZ95" i="11" s="1"/>
  <c r="BA95" i="11" s="1"/>
  <c r="AD18" i="11"/>
  <c r="AE18" i="11" s="1"/>
  <c r="AL18" i="11" s="1"/>
  <c r="AO18" i="11" s="1"/>
  <c r="AZ18" i="11" s="1"/>
  <c r="BA18" i="11" s="1"/>
  <c r="BB18" i="11" s="1"/>
  <c r="AO22" i="11"/>
  <c r="AZ22" i="11" s="1"/>
  <c r="BA22" i="11" s="1"/>
  <c r="AD35" i="11"/>
  <c r="AD85" i="11"/>
  <c r="AE85" i="11" s="1"/>
  <c r="AL85" i="11" s="1"/>
  <c r="AO85" i="11" s="1"/>
  <c r="AZ85" i="11" s="1"/>
  <c r="AD117" i="11"/>
  <c r="AE117" i="11" s="1"/>
  <c r="AL117" i="11" s="1"/>
  <c r="AO117" i="11" s="1"/>
  <c r="AD27" i="11"/>
  <c r="AE27" i="11" s="1"/>
  <c r="AL27" i="11" s="1"/>
  <c r="AO27" i="11" s="1"/>
  <c r="AD103" i="11"/>
  <c r="AE103" i="11" s="1"/>
  <c r="AL103" i="11" s="1"/>
  <c r="AO103" i="11" s="1"/>
  <c r="AD116" i="11"/>
  <c r="AE116" i="11" s="1"/>
  <c r="AL116" i="11" s="1"/>
  <c r="AO116" i="11" s="1"/>
  <c r="AO25" i="11"/>
  <c r="AO141" i="11"/>
  <c r="AZ141" i="11" s="1"/>
  <c r="AO148" i="11"/>
  <c r="AZ148" i="11" s="1"/>
  <c r="AD56" i="11"/>
  <c r="AE56" i="11" s="1"/>
  <c r="AL56" i="11" s="1"/>
  <c r="AO56" i="11" s="1"/>
  <c r="AZ56" i="11" s="1"/>
  <c r="BA56" i="11" s="1"/>
  <c r="BB56" i="11" s="1"/>
  <c r="AD57" i="11"/>
  <c r="AE57" i="11" s="1"/>
  <c r="AL57" i="11" s="1"/>
  <c r="AO57" i="11" s="1"/>
  <c r="AD114" i="11"/>
  <c r="AE114" i="11" s="1"/>
  <c r="AL114" i="11" s="1"/>
  <c r="AO114" i="11" s="1"/>
  <c r="AZ114" i="11" s="1"/>
  <c r="BA114" i="11" s="1"/>
  <c r="BB114" i="11" s="1"/>
  <c r="BC114" i="11" s="1"/>
  <c r="AD107" i="11"/>
  <c r="AE107" i="11" s="1"/>
  <c r="AL107" i="11" s="1"/>
  <c r="AO107" i="11" s="1"/>
  <c r="AD48" i="11"/>
  <c r="AE48" i="11" s="1"/>
  <c r="AL48" i="11" s="1"/>
  <c r="AO48" i="11" s="1"/>
  <c r="AD43" i="11"/>
  <c r="AE43" i="11" s="1"/>
  <c r="AL43" i="11" s="1"/>
  <c r="AO43" i="11" s="1"/>
  <c r="AZ43" i="11" s="1"/>
  <c r="BA43" i="11" s="1"/>
  <c r="BB43" i="11" s="1"/>
  <c r="AD44" i="11"/>
  <c r="AE44" i="11" s="1"/>
  <c r="AL44" i="11" s="1"/>
  <c r="AO44" i="11" s="1"/>
  <c r="AO64" i="11"/>
  <c r="AZ64" i="11" s="1"/>
  <c r="BA64" i="11" s="1"/>
  <c r="BB64" i="11" s="1"/>
  <c r="BC64" i="11" s="1"/>
  <c r="AD79" i="11"/>
  <c r="AE79" i="11" s="1"/>
  <c r="AL79" i="11" s="1"/>
  <c r="AO79" i="11" s="1"/>
  <c r="AZ79" i="11" s="1"/>
  <c r="AD105" i="11"/>
  <c r="AE105" i="11" s="1"/>
  <c r="AL105" i="11" s="1"/>
  <c r="AO105" i="11" s="1"/>
  <c r="AD40" i="11"/>
  <c r="AD41" i="11"/>
  <c r="AE41" i="11" s="1"/>
  <c r="AL41" i="11" s="1"/>
  <c r="AO41" i="11" s="1"/>
  <c r="AD83" i="11"/>
  <c r="AE83" i="11" s="1"/>
  <c r="AL83" i="11" s="1"/>
  <c r="AO83" i="11" s="1"/>
  <c r="AZ83" i="11" s="1"/>
  <c r="AD61" i="11"/>
  <c r="AE61" i="11" s="1"/>
  <c r="AL61" i="11" s="1"/>
  <c r="AO61" i="11" s="1"/>
  <c r="AZ61" i="11" s="1"/>
  <c r="BA61" i="11" s="1"/>
  <c r="BB61" i="11" s="1"/>
  <c r="AD60" i="11"/>
  <c r="AE60" i="11" s="1"/>
  <c r="AL60" i="11" s="1"/>
  <c r="AO60" i="11" s="1"/>
  <c r="AZ60" i="11" s="1"/>
  <c r="BA60" i="11" s="1"/>
  <c r="BB60" i="11" s="1"/>
  <c r="AD73" i="11"/>
  <c r="AE73" i="11" s="1"/>
  <c r="AL73" i="11" s="1"/>
  <c r="AO73" i="11" s="1"/>
  <c r="AZ73" i="11" s="1"/>
  <c r="AO19" i="11"/>
  <c r="AZ19" i="11" s="1"/>
  <c r="BA19" i="11" s="1"/>
  <c r="BB19" i="11" s="1"/>
  <c r="BC19" i="11" s="1"/>
  <c r="AD47" i="11"/>
  <c r="AE47" i="11" s="1"/>
  <c r="AL47" i="11" s="1"/>
  <c r="AO47" i="11" s="1"/>
  <c r="AZ47" i="11" s="1"/>
  <c r="BA47" i="11" s="1"/>
  <c r="BB47" i="11" s="1"/>
  <c r="AD65" i="11"/>
  <c r="AE65" i="11" s="1"/>
  <c r="AL65" i="11" s="1"/>
  <c r="AO65" i="11" s="1"/>
  <c r="AZ65" i="11" s="1"/>
  <c r="BA65" i="11" s="1"/>
  <c r="AD69" i="11"/>
  <c r="AE69" i="11" s="1"/>
  <c r="AL69" i="11" s="1"/>
  <c r="AO69" i="11" s="1"/>
  <c r="AZ69" i="11" s="1"/>
  <c r="AD111" i="11"/>
  <c r="AE111" i="11" s="1"/>
  <c r="AL111" i="11" s="1"/>
  <c r="AO111" i="11" s="1"/>
  <c r="AD142" i="11"/>
  <c r="AE142" i="11" s="1"/>
  <c r="AL142" i="11" s="1"/>
  <c r="AO142" i="11" s="1"/>
  <c r="AZ142" i="11" s="1"/>
  <c r="AC153" i="11"/>
  <c r="AC152" i="11"/>
  <c r="AD20" i="11"/>
  <c r="AE20" i="11" s="1"/>
  <c r="AL20" i="11" s="1"/>
  <c r="AO20" i="11" s="1"/>
  <c r="AZ20" i="11" s="1"/>
  <c r="BA20" i="11" s="1"/>
  <c r="AD42" i="11"/>
  <c r="AE42" i="11" s="1"/>
  <c r="AL42" i="11" s="1"/>
  <c r="AO42" i="11" s="1"/>
  <c r="AD45" i="11"/>
  <c r="AE45" i="11" s="1"/>
  <c r="AL45" i="11" s="1"/>
  <c r="AO45" i="11" s="1"/>
  <c r="AZ45" i="11" s="1"/>
  <c r="BA45" i="11" s="1"/>
  <c r="BB45" i="11" s="1"/>
  <c r="AD54" i="11"/>
  <c r="AE54" i="11" s="1"/>
  <c r="AL54" i="11" s="1"/>
  <c r="AO54" i="11" s="1"/>
  <c r="AZ54" i="11" s="1"/>
  <c r="BA54" i="11" s="1"/>
  <c r="BB54" i="11" s="1"/>
  <c r="AD55" i="11"/>
  <c r="AE55" i="11" s="1"/>
  <c r="AL55" i="11" s="1"/>
  <c r="AO55" i="11" s="1"/>
  <c r="AD58" i="11"/>
  <c r="AE58" i="11" s="1"/>
  <c r="AL58" i="11" s="1"/>
  <c r="AO58" i="11" s="1"/>
  <c r="AZ58" i="11" s="1"/>
  <c r="BA58" i="11" s="1"/>
  <c r="BB58" i="11" s="1"/>
  <c r="AD62" i="11"/>
  <c r="AE62" i="11" s="1"/>
  <c r="AL62" i="11" s="1"/>
  <c r="AO62" i="11" s="1"/>
  <c r="AZ62" i="11" s="1"/>
  <c r="BA62" i="11" s="1"/>
  <c r="BB62" i="11" s="1"/>
  <c r="AD63" i="11"/>
  <c r="AE63" i="11" s="1"/>
  <c r="AL63" i="11" s="1"/>
  <c r="AO63" i="11" s="1"/>
  <c r="AZ63" i="11" s="1"/>
  <c r="BA63" i="11" s="1"/>
  <c r="BB63" i="11" s="1"/>
  <c r="AD118" i="11"/>
  <c r="AD82" i="11"/>
  <c r="AE82" i="11" s="1"/>
  <c r="AL82" i="11" s="1"/>
  <c r="AO82" i="11" s="1"/>
  <c r="AZ82" i="11" s="1"/>
  <c r="BA82" i="11" s="1"/>
  <c r="BB82" i="11" s="1"/>
  <c r="AD86" i="11"/>
  <c r="AE86" i="11" s="1"/>
  <c r="AL86" i="11" s="1"/>
  <c r="AO86" i="11" s="1"/>
  <c r="AZ86" i="11" s="1"/>
  <c r="AD102" i="11"/>
  <c r="AE102" i="11" s="1"/>
  <c r="AL102" i="11" s="1"/>
  <c r="AO102" i="11" s="1"/>
  <c r="AD70" i="11"/>
  <c r="AE70" i="11" s="1"/>
  <c r="AL70" i="11" s="1"/>
  <c r="AO70" i="11" s="1"/>
  <c r="AZ70" i="11" s="1"/>
  <c r="AO71" i="11"/>
  <c r="AZ71" i="11" s="1"/>
  <c r="AD76" i="11"/>
  <c r="AE76" i="11" s="1"/>
  <c r="AL76" i="11" s="1"/>
  <c r="AO76" i="11" s="1"/>
  <c r="AZ76" i="11" s="1"/>
  <c r="AD143" i="11"/>
  <c r="AE143" i="11" s="1"/>
  <c r="AL143" i="11" s="1"/>
  <c r="AO143" i="11" s="1"/>
  <c r="AZ143" i="11" s="1"/>
  <c r="AD9" i="11"/>
  <c r="AE9" i="11" s="1"/>
  <c r="AL9" i="11" s="1"/>
  <c r="AO9" i="11" s="1"/>
  <c r="AZ9" i="11" s="1"/>
  <c r="BA9" i="11" s="1"/>
  <c r="AD12" i="11"/>
  <c r="AE12" i="11" s="1"/>
  <c r="AL12" i="11" s="1"/>
  <c r="AO12" i="11" s="1"/>
  <c r="AD50" i="11"/>
  <c r="AE50" i="11" s="1"/>
  <c r="AL50" i="11" s="1"/>
  <c r="AO50" i="11" s="1"/>
  <c r="AZ50" i="11" s="1"/>
  <c r="AD7" i="11"/>
  <c r="AE7" i="11" s="1"/>
  <c r="AL7" i="11" s="1"/>
  <c r="AO7" i="11" s="1"/>
  <c r="AZ7" i="11" s="1"/>
  <c r="BA7" i="11" s="1"/>
  <c r="BB7" i="11" s="1"/>
  <c r="BC7" i="11" s="1"/>
  <c r="AD15" i="11"/>
  <c r="AE15" i="11" s="1"/>
  <c r="AL15" i="11" s="1"/>
  <c r="AO15" i="11" s="1"/>
  <c r="AZ15" i="11" s="1"/>
  <c r="BA15" i="11" s="1"/>
  <c r="BB15" i="11" s="1"/>
  <c r="AD38" i="11"/>
  <c r="AD52" i="11"/>
  <c r="AE52" i="11" s="1"/>
  <c r="AL52" i="11" s="1"/>
  <c r="AO52" i="11" s="1"/>
  <c r="AD89" i="11"/>
  <c r="AE89" i="11" s="1"/>
  <c r="AL89" i="11" s="1"/>
  <c r="AO89" i="11" s="1"/>
  <c r="AZ89" i="11" s="1"/>
  <c r="AD100" i="11"/>
  <c r="AE100" i="11" s="1"/>
  <c r="AL100" i="11" s="1"/>
  <c r="AO100" i="11" s="1"/>
  <c r="AD115" i="11"/>
  <c r="AE115" i="11" s="1"/>
  <c r="AL115" i="11" s="1"/>
  <c r="AO115" i="11" s="1"/>
  <c r="AD10" i="11"/>
  <c r="AE10" i="11" s="1"/>
  <c r="AL10" i="11" s="1"/>
  <c r="AO10" i="11" s="1"/>
  <c r="AZ10" i="11" s="1"/>
  <c r="BA10" i="11" s="1"/>
  <c r="AD16" i="11"/>
  <c r="AE16" i="11" s="1"/>
  <c r="AL16" i="11" s="1"/>
  <c r="AO16" i="11" s="1"/>
  <c r="AZ16" i="11" s="1"/>
  <c r="BA16" i="11" s="1"/>
  <c r="BB16" i="11" s="1"/>
  <c r="AD51" i="11"/>
  <c r="AE51" i="11" s="1"/>
  <c r="AL51" i="11" s="1"/>
  <c r="AO51" i="11" s="1"/>
  <c r="AZ51" i="11" s="1"/>
  <c r="AD91" i="11"/>
  <c r="AE91" i="11" s="1"/>
  <c r="AL91" i="11" s="1"/>
  <c r="AO91" i="11" s="1"/>
  <c r="AZ91" i="11" s="1"/>
  <c r="AD99" i="11"/>
  <c r="AE99" i="11" s="1"/>
  <c r="AL99" i="11" s="1"/>
  <c r="AO99" i="11" s="1"/>
  <c r="AD121" i="11"/>
  <c r="AE121" i="11" s="1"/>
  <c r="AL121" i="11" s="1"/>
  <c r="AO121" i="11" s="1"/>
  <c r="AZ121" i="11" s="1"/>
  <c r="BA121" i="11" s="1"/>
  <c r="BB121" i="11" s="1"/>
  <c r="BC121" i="11" s="1"/>
  <c r="AD125" i="11"/>
  <c r="AE125" i="11" s="1"/>
  <c r="AL125" i="11" s="1"/>
  <c r="AO125" i="11" s="1"/>
  <c r="AD8" i="11"/>
  <c r="AE8" i="11" s="1"/>
  <c r="AL8" i="11" s="1"/>
  <c r="AO8" i="11" s="1"/>
  <c r="AZ8" i="11" s="1"/>
  <c r="AD17" i="11"/>
  <c r="AE17" i="11" s="1"/>
  <c r="AL17" i="11" s="1"/>
  <c r="AO17" i="11" s="1"/>
  <c r="AZ17" i="11" s="1"/>
  <c r="BA17" i="11" s="1"/>
  <c r="BB17" i="11" s="1"/>
  <c r="AD39" i="11"/>
  <c r="AD81" i="11"/>
  <c r="AE81" i="11" s="1"/>
  <c r="AL81" i="11" s="1"/>
  <c r="AO81" i="11" s="1"/>
  <c r="AZ81" i="11" s="1"/>
  <c r="BA81" i="11" s="1"/>
  <c r="BB81" i="11" s="1"/>
  <c r="BC81" i="11" s="1"/>
  <c r="AO87" i="11"/>
  <c r="AZ87" i="11" s="1"/>
  <c r="BA87" i="11" s="1"/>
  <c r="AD110" i="11"/>
  <c r="AE110" i="11" s="1"/>
  <c r="AL110" i="11" s="1"/>
  <c r="AO110" i="11" s="1"/>
  <c r="AD120" i="11"/>
  <c r="AE120" i="11" s="1"/>
  <c r="AL120" i="11" s="1"/>
  <c r="AO120" i="11" s="1"/>
  <c r="AD124" i="11"/>
  <c r="AE124" i="11" s="1"/>
  <c r="AL124" i="11" s="1"/>
  <c r="AO124" i="11" s="1"/>
  <c r="AD104" i="11"/>
  <c r="AE104" i="11" s="1"/>
  <c r="AL104" i="11" s="1"/>
  <c r="AO104" i="11" s="1"/>
  <c r="AO123" i="11"/>
  <c r="AD133" i="11"/>
  <c r="AE133" i="11" s="1"/>
  <c r="AL133" i="11" s="1"/>
  <c r="AO133" i="11" s="1"/>
  <c r="AD135" i="11"/>
  <c r="AE135" i="11" s="1"/>
  <c r="AL135" i="11" s="1"/>
  <c r="AO135" i="11" s="1"/>
  <c r="AZ135" i="11" s="1"/>
  <c r="AD136" i="11"/>
  <c r="AE136" i="11" s="1"/>
  <c r="AL136" i="11" s="1"/>
  <c r="AO136" i="11" s="1"/>
  <c r="AZ136" i="11" s="1"/>
  <c r="BA135" i="11" s="1"/>
  <c r="BB135" i="11" s="1"/>
  <c r="AD144" i="11"/>
  <c r="AE144" i="11" s="1"/>
  <c r="AL144" i="11" s="1"/>
  <c r="AO144" i="11" s="1"/>
  <c r="AD146" i="11"/>
  <c r="AE146" i="11" s="1"/>
  <c r="AL146" i="11" s="1"/>
  <c r="AO146" i="11" s="1"/>
  <c r="BC63" i="11" l="1"/>
  <c r="BA140" i="11"/>
  <c r="BB140" i="11" s="1"/>
  <c r="BA66" i="11"/>
  <c r="AE33" i="11"/>
  <c r="AL33" i="11" s="1"/>
  <c r="AO33" i="11" s="1"/>
  <c r="AE35" i="11"/>
  <c r="AL35" i="11" s="1"/>
  <c r="AO35" i="11" s="1"/>
  <c r="AE32" i="11"/>
  <c r="AE36" i="11"/>
  <c r="AL36" i="11" s="1"/>
  <c r="AO36" i="11" s="1"/>
  <c r="AZ36" i="11" s="1"/>
  <c r="AE34" i="11"/>
  <c r="AL34" i="11" s="1"/>
  <c r="AO34" i="11" s="1"/>
  <c r="AZ34" i="11" s="1"/>
  <c r="AE118" i="11"/>
  <c r="AL118" i="11" s="1"/>
  <c r="AO118" i="11" s="1"/>
  <c r="AD153" i="11"/>
  <c r="AE39" i="11"/>
  <c r="AL39" i="11" s="1"/>
  <c r="AO39" i="11" s="1"/>
  <c r="AZ39" i="11" s="1"/>
  <c r="BA39" i="11" s="1"/>
  <c r="AE38" i="11"/>
  <c r="AL38" i="11" s="1"/>
  <c r="AO38" i="11" s="1"/>
  <c r="AZ38" i="11" s="1"/>
  <c r="BA38" i="11" s="1"/>
  <c r="AL29" i="11"/>
  <c r="AO29" i="11" s="1"/>
  <c r="BA83" i="11"/>
  <c r="BB83" i="11" s="1"/>
  <c r="BC83" i="11" s="1"/>
  <c r="AE132" i="11"/>
  <c r="AL132" i="11" s="1"/>
  <c r="AO132" i="11" s="1"/>
  <c r="AD154" i="11"/>
  <c r="BA73" i="11"/>
  <c r="BB73" i="11" s="1"/>
  <c r="AE40" i="11"/>
  <c r="AL40" i="11" s="1"/>
  <c r="AO40" i="11" s="1"/>
  <c r="AZ40" i="11" s="1"/>
  <c r="BA40" i="11" s="1"/>
  <c r="BB40" i="11" s="1"/>
  <c r="BC45" i="11" s="1"/>
  <c r="BA50" i="11"/>
  <c r="BB50" i="11" s="1"/>
  <c r="BC50" i="11" s="1"/>
  <c r="BB22" i="11"/>
  <c r="BB20" i="11"/>
  <c r="BC20" i="11" s="1"/>
  <c r="BB10" i="11"/>
  <c r="BC10" i="11" s="1"/>
  <c r="BC58" i="11"/>
  <c r="BA77" i="11"/>
  <c r="BB77" i="11" s="1"/>
  <c r="BA129" i="11"/>
  <c r="BB129" i="11" s="1"/>
  <c r="BA147" i="11"/>
  <c r="BB147" i="11" s="1"/>
  <c r="BC147" i="11" s="1"/>
  <c r="BB9" i="11"/>
  <c r="BC9" i="11" s="1"/>
  <c r="BA142" i="11"/>
  <c r="BB142" i="11" s="1"/>
  <c r="BC128" i="11" s="1"/>
  <c r="BA89" i="11"/>
  <c r="BB89" i="11" s="1"/>
  <c r="BC49" i="11"/>
  <c r="BB94" i="11"/>
  <c r="BC18" i="11"/>
  <c r="BA69" i="11"/>
  <c r="BB65" i="11"/>
  <c r="BA36" i="11" l="1"/>
  <c r="BB36" i="11" s="1"/>
  <c r="BC36" i="11" s="1"/>
  <c r="AE154" i="11"/>
  <c r="BB66" i="11"/>
  <c r="BB38" i="11"/>
  <c r="BC38" i="11" s="1"/>
  <c r="AL32" i="11"/>
  <c r="AO32" i="11" s="1"/>
  <c r="AE153" i="11"/>
  <c r="BC94" i="11"/>
  <c r="BC7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Adams, Merrin (L&amp;W, Lucas Heights)</author>
    <author>tc={6228E861-6724-4707-842C-7BC6D813E8B6}</author>
    <author>tc={59CB21CF-1732-4054-9E9F-F62AC6511BF0}</author>
    <author>tc={18BDA09D-68CE-44BF-91DE-D1A2402461E6}</author>
  </authors>
  <commentList>
    <comment ref="W13" authorId="0" shapeId="0" xr:uid="{82577BE7-C64B-46B5-ADD4-205F732C6591}">
      <text>
        <r>
          <rPr>
            <b/>
            <sz val="9"/>
            <color indexed="81"/>
            <rFont val="Tahoma"/>
            <family val="2"/>
          </rPr>
          <t>Adams, Merrin (L&amp;W, Lucas Heights):</t>
        </r>
        <r>
          <rPr>
            <sz val="9"/>
            <color indexed="81"/>
            <rFont val="Tahoma"/>
            <family val="2"/>
          </rPr>
          <t xml:space="preserve">
assume an average of 7.9 based on a reported range of 7.3-8.4</t>
        </r>
      </text>
    </comment>
    <comment ref="Z13" authorId="0" shapeId="0" xr:uid="{8348C9A3-7504-4FEB-9066-834AA0C67F41}">
      <text>
        <r>
          <rPr>
            <b/>
            <sz val="9"/>
            <color indexed="81"/>
            <rFont val="Tahoma"/>
            <family val="2"/>
          </rPr>
          <t>Adams, Merrin (L&amp;W, Lucas Heights):</t>
        </r>
        <r>
          <rPr>
            <sz val="9"/>
            <color indexed="81"/>
            <rFont val="Tahoma"/>
            <family val="2"/>
          </rPr>
          <t xml:space="preserve">
reported as 51 mg NH3/L. NOEC is the highest concentration tested hence NOEC ≥ value reported</t>
        </r>
      </text>
    </comment>
    <comment ref="W14" authorId="0" shapeId="0" xr:uid="{22247FC3-EF78-4DBB-9539-D604B432274D}">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W15" authorId="0" shapeId="0" xr:uid="{D7D05BAB-92C0-491C-9A70-9C7F4D7D48D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W16" authorId="0" shapeId="0" xr:uid="{CFB0509C-1797-4684-A4B6-1FA3DC22063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W17" authorId="0" shapeId="0" xr:uid="{7BEDD8C1-790F-44CD-9D1B-6BE9D88F7E4F}">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W18" authorId="0" shapeId="0" xr:uid="{305D4AF0-BF69-4FD0-B4CE-0A92A5F39B3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R32" authorId="1" shapeId="0" xr:uid="{6228E861-6724-4707-842C-7BC6D813E8B6}">
      <text>
        <t>[Threaded comment]
Your version of Excel allows you to read this threaded comment; however, any edits to it will get removed if the file is opened in a newer version of Excel. Learn more: https://go.microsoft.com/fwlink/?linkid=870924
Comment:
    All treatments and throughout test duration</t>
      </text>
    </comment>
    <comment ref="W32" authorId="0" shapeId="0" xr:uid="{9A8A2F12-3564-472A-A8C8-015ED71D2C68}">
      <text>
        <r>
          <rPr>
            <b/>
            <sz val="9"/>
            <color indexed="81"/>
            <rFont val="Tahoma"/>
            <family val="2"/>
          </rPr>
          <t>Adams, Merrin (L&amp;W, Lucas Heights):</t>
        </r>
        <r>
          <rPr>
            <sz val="9"/>
            <color indexed="81"/>
            <rFont val="Tahoma"/>
            <family val="2"/>
          </rPr>
          <t xml:space="preserve">
pH range for all treatments and control with an avg of 8.26</t>
        </r>
      </text>
    </comment>
    <comment ref="R33" authorId="2" shapeId="0" xr:uid="{59CB21CF-1732-4054-9E9F-F62AC6511BF0}">
      <text>
        <t>[Threaded comment]
Your version of Excel allows you to read this threaded comment; however, any edits to it will get removed if the file is opened in a newer version of Excel. Learn more: https://go.microsoft.com/fwlink/?linkid=870924
Comment:
    All treatments and throughout test duration</t>
      </text>
    </comment>
    <comment ref="W33" authorId="0" shapeId="0" xr:uid="{B5B1BD1B-5166-4631-8A25-3CBC0C32D904}">
      <text>
        <r>
          <rPr>
            <b/>
            <sz val="9"/>
            <color indexed="81"/>
            <rFont val="Tahoma"/>
            <family val="2"/>
          </rPr>
          <t>Adams, Merrin (L&amp;W, Lucas Heights):</t>
        </r>
        <r>
          <rPr>
            <sz val="9"/>
            <color indexed="81"/>
            <rFont val="Tahoma"/>
            <family val="2"/>
          </rPr>
          <t xml:space="preserve">
pH range for all treatments and control with an avg of 8.26</t>
        </r>
      </text>
    </comment>
    <comment ref="R34" authorId="3" shapeId="0" xr:uid="{18BDA09D-68CE-44BF-91DE-D1A2402461E6}">
      <text>
        <t>[Threaded comment]
Your version of Excel allows you to read this threaded comment; however, any edits to it will get removed if the file is opened in a newer version of Excel. Learn more: https://go.microsoft.com/fwlink/?linkid=870924
Comment:
    All treatments and throughout test duration</t>
      </text>
    </comment>
    <comment ref="W34" authorId="0" shapeId="0" xr:uid="{6ECDD88C-3429-4884-B3E7-851583DFB87E}">
      <text>
        <r>
          <rPr>
            <b/>
            <sz val="9"/>
            <color indexed="81"/>
            <rFont val="Tahoma"/>
            <family val="2"/>
          </rPr>
          <t>Adams, Merrin (L&amp;W, Lucas Heights):</t>
        </r>
        <r>
          <rPr>
            <sz val="9"/>
            <color indexed="81"/>
            <rFont val="Tahoma"/>
            <family val="2"/>
          </rPr>
          <t xml:space="preserve">
pH range for all treatments and control with an avg of 8.26</t>
        </r>
      </text>
    </comment>
    <comment ref="U38" authorId="0" shapeId="0" xr:uid="{3C5E821A-E142-4ADB-9B81-6F52B42975C1}">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W38" authorId="0" shapeId="0" xr:uid="{14C322E0-0610-423D-96DA-1FAC174AC748}">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U39" authorId="0" shapeId="0" xr:uid="{20887ECA-1ED6-4F44-B610-580016397E29}">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W39" authorId="0" shapeId="0" xr:uid="{827CCE7E-CF07-4E8C-822B-2A841D07022B}">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W40" authorId="0" shapeId="0" xr:uid="{78BF8B57-0CCB-40EE-988C-119C8C5DBAC0}">
      <text>
        <r>
          <rPr>
            <b/>
            <sz val="9"/>
            <color indexed="81"/>
            <rFont val="Tahoma"/>
            <family val="2"/>
          </rPr>
          <t>Adams, Merrin (L&amp;W, Lucas Heights):</t>
        </r>
        <r>
          <rPr>
            <sz val="9"/>
            <color indexed="81"/>
            <rFont val="Tahoma"/>
            <family val="2"/>
          </rPr>
          <t xml:space="preserve">
Median pH range for all treatments and control = 7.86-7.09, median pH for NOEC treatment = 7.64 (used for calculations). Note that range of all pH treatments ranged from 5.76-8.24</t>
        </r>
      </text>
    </comment>
    <comment ref="W41" authorId="0" shapeId="0" xr:uid="{B530E6C7-84E9-49B8-A7B8-524C2D9D68F0}">
      <text>
        <r>
          <rPr>
            <b/>
            <sz val="9"/>
            <color indexed="81"/>
            <rFont val="Tahoma"/>
            <family val="2"/>
          </rPr>
          <t>Adams, Merrin (L&amp;W, Lucas Heights):</t>
        </r>
        <r>
          <rPr>
            <sz val="9"/>
            <color indexed="81"/>
            <rFont val="Tahoma"/>
            <family val="2"/>
          </rPr>
          <t xml:space="preserve">
Median pH range for all treatments and control = 7.86-7.09, therefore an average of 7.44 used for calculations. Note that range of all pH treatments ranged from 5.76-8.24</t>
        </r>
      </text>
    </comment>
    <comment ref="W42" authorId="0" shapeId="0" xr:uid="{202F5286-3204-4961-8F40-9E85720F05CE}">
      <text>
        <r>
          <rPr>
            <b/>
            <sz val="9"/>
            <color indexed="81"/>
            <rFont val="Tahoma"/>
            <family val="2"/>
          </rPr>
          <t>Adams, Merrin (L&amp;W, Lucas Heights):</t>
        </r>
        <r>
          <rPr>
            <sz val="9"/>
            <color indexed="81"/>
            <rFont val="Tahoma"/>
            <family val="2"/>
          </rPr>
          <t xml:space="preserve">
Median pH range for all treatments and control = 7.22-7.72, therefore an average of 7.47 used for calculations. Note that range of all pH treatments ranged from 5.76-7.95</t>
        </r>
      </text>
    </comment>
    <comment ref="W43" authorId="0" shapeId="0" xr:uid="{3A584A52-8F6E-4642-83B8-51AF42AD19F3}">
      <text>
        <r>
          <rPr>
            <b/>
            <sz val="9"/>
            <color indexed="81"/>
            <rFont val="Tahoma"/>
            <family val="2"/>
          </rPr>
          <t>Adams, Merrin (L&amp;W, Lucas Heights):</t>
        </r>
        <r>
          <rPr>
            <sz val="9"/>
            <color indexed="81"/>
            <rFont val="Tahoma"/>
            <family val="2"/>
          </rPr>
          <t xml:space="preserve">
Median pH range for all treatments and control = 7.86-7.09, median pH for NOEC treatment = 7.64 (used for calculations). Note that range of all pH treatments ranged from 5.76-8.24</t>
        </r>
      </text>
    </comment>
    <comment ref="W44" authorId="0" shapeId="0" xr:uid="{02BE7265-2C17-4EDA-97A4-0C2D0BB1728B}">
      <text>
        <r>
          <rPr>
            <b/>
            <sz val="9"/>
            <color indexed="81"/>
            <rFont val="Tahoma"/>
            <family val="2"/>
          </rPr>
          <t>Adams, Merrin (L&amp;W, Lucas Heights):</t>
        </r>
        <r>
          <rPr>
            <sz val="9"/>
            <color indexed="81"/>
            <rFont val="Tahoma"/>
            <family val="2"/>
          </rPr>
          <t xml:space="preserve">
Median pH range for all treatments and control = 7.86-7.09, therefore an average of 7.44 used for calculations. Note that range of all pH treatments ranged from 5.76-8.24</t>
        </r>
      </text>
    </comment>
    <comment ref="W45" authorId="0" shapeId="0" xr:uid="{EAA9E10E-95C1-41C8-8395-1983BE945DEB}">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BC49" authorId="0" shapeId="0" xr:uid="{B4091085-C8BA-4084-8E87-D71A001CCD3A}">
      <text>
        <r>
          <rPr>
            <b/>
            <sz val="9"/>
            <color indexed="81"/>
            <rFont val="Tahoma"/>
            <family val="2"/>
          </rPr>
          <t>Adams, Merrin (L&amp;W, Lucas Heights):</t>
        </r>
        <r>
          <rPr>
            <sz val="9"/>
            <color indexed="81"/>
            <rFont val="Tahoma"/>
            <family val="2"/>
          </rPr>
          <t xml:space="preserve">
This is a &lt; value
</t>
        </r>
      </text>
    </comment>
    <comment ref="U54" authorId="0" shapeId="0" xr:uid="{42E80023-48DF-4AD5-90F7-E45AEEC0BF7C}">
      <text>
        <r>
          <rPr>
            <b/>
            <sz val="9"/>
            <color indexed="81"/>
            <rFont val="Tahoma"/>
            <family val="2"/>
          </rPr>
          <t>Adams, Merrin (L&amp;W, Lucas Heights):</t>
        </r>
        <r>
          <rPr>
            <sz val="9"/>
            <color indexed="81"/>
            <rFont val="Tahoma"/>
            <family val="2"/>
          </rPr>
          <t xml:space="preserve">
average across treatments (range across treatments)</t>
        </r>
      </text>
    </comment>
    <comment ref="W54" authorId="0" shapeId="0" xr:uid="{2D243FB1-2290-4E20-A6D8-3637710273CF}">
      <text>
        <r>
          <rPr>
            <b/>
            <sz val="9"/>
            <color indexed="81"/>
            <rFont val="Tahoma"/>
            <family val="2"/>
          </rPr>
          <t>Adams, Merrin (L&amp;W, Lucas Heights):</t>
        </r>
        <r>
          <rPr>
            <sz val="9"/>
            <color indexed="81"/>
            <rFont val="Tahoma"/>
            <family val="2"/>
          </rPr>
          <t xml:space="preserve">
average across treatments (range across treatments)</t>
        </r>
      </text>
    </comment>
    <comment ref="U55" authorId="0" shapeId="0" xr:uid="{D7CAE8E0-FE88-4DEF-9758-F5317511D1AE}">
      <text>
        <r>
          <rPr>
            <b/>
            <sz val="9"/>
            <color indexed="81"/>
            <rFont val="Tahoma"/>
            <family val="2"/>
          </rPr>
          <t>Adams, Merrin (L&amp;W, Lucas Heights):</t>
        </r>
        <r>
          <rPr>
            <sz val="9"/>
            <color indexed="81"/>
            <rFont val="Tahoma"/>
            <family val="2"/>
          </rPr>
          <t xml:space="preserve">
average across treatments (range across treatments)</t>
        </r>
      </text>
    </comment>
    <comment ref="W55" authorId="0" shapeId="0" xr:uid="{2BE079CF-89A5-41F5-9868-5F1D5BFE2613}">
      <text>
        <r>
          <rPr>
            <b/>
            <sz val="9"/>
            <color indexed="81"/>
            <rFont val="Tahoma"/>
            <family val="2"/>
          </rPr>
          <t>Adams, Merrin (L&amp;W, Lucas Heights):</t>
        </r>
        <r>
          <rPr>
            <sz val="9"/>
            <color indexed="81"/>
            <rFont val="Tahoma"/>
            <family val="2"/>
          </rPr>
          <t xml:space="preserve">
average across treatments (range across treatments)</t>
        </r>
      </text>
    </comment>
    <comment ref="U56" authorId="0" shapeId="0" xr:uid="{96140FE4-5419-4044-935A-6404E521CCB3}">
      <text>
        <r>
          <rPr>
            <b/>
            <sz val="9"/>
            <color indexed="81"/>
            <rFont val="Tahoma"/>
            <family val="2"/>
          </rPr>
          <t>Adams, Merrin (L&amp;W, Lucas Heights):</t>
        </r>
        <r>
          <rPr>
            <sz val="9"/>
            <color indexed="81"/>
            <rFont val="Tahoma"/>
            <family val="2"/>
          </rPr>
          <t xml:space="preserve">
average across treatments (range across treatments)</t>
        </r>
      </text>
    </comment>
    <comment ref="W56" authorId="0" shapeId="0" xr:uid="{BD7E36F3-310A-4C28-9D1A-EF4554D27A7C}">
      <text>
        <r>
          <rPr>
            <b/>
            <sz val="9"/>
            <color indexed="81"/>
            <rFont val="Tahoma"/>
            <family val="2"/>
          </rPr>
          <t>Adams, Merrin (L&amp;W, Lucas Heights):</t>
        </r>
        <r>
          <rPr>
            <sz val="9"/>
            <color indexed="81"/>
            <rFont val="Tahoma"/>
            <family val="2"/>
          </rPr>
          <t xml:space="preserve">
average across treatments (range across treatments)</t>
        </r>
      </text>
    </comment>
    <comment ref="U57" authorId="0" shapeId="0" xr:uid="{AED2DDA2-1D44-47F3-8526-F6C7C4136559}">
      <text>
        <r>
          <rPr>
            <b/>
            <sz val="9"/>
            <color indexed="81"/>
            <rFont val="Tahoma"/>
            <family val="2"/>
          </rPr>
          <t>Adams, Merrin (L&amp;W, Lucas Heights):</t>
        </r>
        <r>
          <rPr>
            <sz val="9"/>
            <color indexed="81"/>
            <rFont val="Tahoma"/>
            <family val="2"/>
          </rPr>
          <t xml:space="preserve">
average across treatments (range across treatments)</t>
        </r>
      </text>
    </comment>
    <comment ref="W57" authorId="0" shapeId="0" xr:uid="{62D43DBA-B1F5-48EE-8D87-C2559067ACBF}">
      <text>
        <r>
          <rPr>
            <b/>
            <sz val="9"/>
            <color indexed="81"/>
            <rFont val="Tahoma"/>
            <family val="2"/>
          </rPr>
          <t>Adams, Merrin (L&amp;W, Lucas Heights):</t>
        </r>
        <r>
          <rPr>
            <sz val="9"/>
            <color indexed="81"/>
            <rFont val="Tahoma"/>
            <family val="2"/>
          </rPr>
          <t xml:space="preserve">
average across treatments (range across treatments)</t>
        </r>
      </text>
    </comment>
    <comment ref="U58" authorId="0" shapeId="0" xr:uid="{58F0D147-76D2-4F92-9EF7-457D2B5FB6BF}">
      <text>
        <r>
          <rPr>
            <b/>
            <sz val="9"/>
            <color indexed="81"/>
            <rFont val="Tahoma"/>
            <family val="2"/>
          </rPr>
          <t>Adams, Merrin (L&amp;W, Lucas Heights):</t>
        </r>
        <r>
          <rPr>
            <sz val="9"/>
            <color indexed="81"/>
            <rFont val="Tahoma"/>
            <family val="2"/>
          </rPr>
          <t xml:space="preserve">
average across treatments (range across treatments)</t>
        </r>
      </text>
    </comment>
    <comment ref="W58" authorId="0" shapeId="0" xr:uid="{E08BC85F-3FA9-4FF5-8860-FDA663B3223D}">
      <text>
        <r>
          <rPr>
            <b/>
            <sz val="9"/>
            <color indexed="81"/>
            <rFont val="Tahoma"/>
            <family val="2"/>
          </rPr>
          <t>Adams, Merrin (L&amp;W, Lucas Heights):</t>
        </r>
        <r>
          <rPr>
            <sz val="9"/>
            <color indexed="81"/>
            <rFont val="Tahoma"/>
            <family val="2"/>
          </rPr>
          <t xml:space="preserve">
average across treatments (range across treatments)</t>
        </r>
      </text>
    </comment>
    <comment ref="U59" authorId="0" shapeId="0" xr:uid="{23CAE4C9-4EB4-4D78-90EA-80A4372DACD0}">
      <text>
        <r>
          <rPr>
            <b/>
            <sz val="9"/>
            <color indexed="81"/>
            <rFont val="Tahoma"/>
            <family val="2"/>
          </rPr>
          <t>Adams, Merrin (L&amp;W, Lucas Heights):</t>
        </r>
        <r>
          <rPr>
            <sz val="9"/>
            <color indexed="81"/>
            <rFont val="Tahoma"/>
            <family val="2"/>
          </rPr>
          <t xml:space="preserve">
average across treatments (range across treatments)</t>
        </r>
      </text>
    </comment>
    <comment ref="W59" authorId="0" shapeId="0" xr:uid="{A7611B0C-DB31-436B-A794-6F3DFC957413}">
      <text>
        <r>
          <rPr>
            <b/>
            <sz val="9"/>
            <color indexed="81"/>
            <rFont val="Tahoma"/>
            <family val="2"/>
          </rPr>
          <t>Adams, Merrin (L&amp;W, Lucas Heights):</t>
        </r>
        <r>
          <rPr>
            <sz val="9"/>
            <color indexed="81"/>
            <rFont val="Tahoma"/>
            <family val="2"/>
          </rPr>
          <t xml:space="preserve">
average across treatments (range across treatments)</t>
        </r>
      </text>
    </comment>
    <comment ref="W60" authorId="0" shapeId="0" xr:uid="{983B441A-46BA-422F-9201-F8EF34D1E50C}">
      <text>
        <r>
          <rPr>
            <b/>
            <sz val="9"/>
            <color indexed="81"/>
            <rFont val="Tahoma"/>
            <family val="2"/>
          </rPr>
          <t>Adams, Merrin (L&amp;W, Lucas Heights):</t>
        </r>
        <r>
          <rPr>
            <sz val="9"/>
            <color indexed="81"/>
            <rFont val="Tahoma"/>
            <family val="2"/>
          </rPr>
          <t xml:space="preserve">
average of 8.37 used for calculations</t>
        </r>
      </text>
    </comment>
    <comment ref="W61" authorId="0" shapeId="0" xr:uid="{65465698-12D1-4FBF-B571-66F6A42E224A}">
      <text>
        <r>
          <rPr>
            <b/>
            <sz val="9"/>
            <color indexed="81"/>
            <rFont val="Tahoma"/>
            <family val="2"/>
          </rPr>
          <t>Adams, Merrin (L&amp;W, Lucas Heights):</t>
        </r>
        <r>
          <rPr>
            <sz val="9"/>
            <color indexed="81"/>
            <rFont val="Tahoma"/>
            <family val="2"/>
          </rPr>
          <t xml:space="preserve">
average of 8.37 used for calculations</t>
        </r>
      </text>
    </comment>
    <comment ref="W62" authorId="0" shapeId="0" xr:uid="{840EAB5D-EE7B-46E5-B6C0-81B04DF29FB6}">
      <text>
        <r>
          <rPr>
            <b/>
            <sz val="9"/>
            <color indexed="81"/>
            <rFont val="Tahoma"/>
            <family val="2"/>
          </rPr>
          <t>Adams, Merrin (L&amp;W, Lucas Heights):</t>
        </r>
        <r>
          <rPr>
            <sz val="9"/>
            <color indexed="81"/>
            <rFont val="Tahoma"/>
            <family val="2"/>
          </rPr>
          <t xml:space="preserve">
average of 8.37 used for calculations</t>
        </r>
      </text>
    </comment>
    <comment ref="U63" authorId="0" shapeId="0" xr:uid="{86D2FD1F-A850-444C-A374-D9F93D0F7E33}">
      <text>
        <r>
          <rPr>
            <b/>
            <sz val="9"/>
            <color indexed="81"/>
            <rFont val="Tahoma"/>
            <family val="2"/>
          </rPr>
          <t>Adams, Merrin (L&amp;W, Lucas Heights):</t>
        </r>
        <r>
          <rPr>
            <sz val="9"/>
            <color indexed="81"/>
            <rFont val="Tahoma"/>
            <family val="2"/>
          </rPr>
          <t xml:space="preserve">
Full temperature range = 23.5-28.0 with median values used for calculations (27.3)</t>
        </r>
      </text>
    </comment>
    <comment ref="V63" authorId="0" shapeId="0" xr:uid="{934FAF90-7379-4DC4-B05D-82DF9FDB0219}">
      <text>
        <r>
          <rPr>
            <b/>
            <sz val="9"/>
            <color indexed="81"/>
            <rFont val="Tahoma"/>
            <family val="2"/>
          </rPr>
          <t>Adams, Merrin (L&amp;W, Lucas Heights):</t>
        </r>
        <r>
          <rPr>
            <sz val="9"/>
            <color indexed="81"/>
            <rFont val="Tahoma"/>
            <family val="2"/>
          </rPr>
          <t xml:space="preserve">
Full temperature range = 23.5-28.0 with median values used for calculations (27.3)</t>
        </r>
      </text>
    </comment>
    <comment ref="W63" authorId="0" shapeId="0" xr:uid="{829ACC2A-850E-4C8B-A31F-94DBCE3A5E0E}">
      <text>
        <r>
          <rPr>
            <b/>
            <sz val="9"/>
            <color indexed="81"/>
            <rFont val="Tahoma"/>
            <family val="2"/>
          </rPr>
          <t>Adams, Merrin (L&amp;W, Lucas Heights):</t>
        </r>
        <r>
          <rPr>
            <sz val="9"/>
            <color indexed="81"/>
            <rFont val="Tahoma"/>
            <family val="2"/>
          </rPr>
          <t xml:space="preserve">
Full pH range = 7.48-8.14 with median values used for calculations (7.77)</t>
        </r>
      </text>
    </comment>
    <comment ref="X63" authorId="0" shapeId="0" xr:uid="{2A3E4259-8D62-459E-BF71-E317A5B5A63C}">
      <text>
        <r>
          <rPr>
            <b/>
            <sz val="9"/>
            <color indexed="81"/>
            <rFont val="Tahoma"/>
            <family val="2"/>
          </rPr>
          <t>Adams, Merrin (L&amp;W, Lucas Heights):</t>
        </r>
        <r>
          <rPr>
            <sz val="9"/>
            <color indexed="81"/>
            <rFont val="Tahoma"/>
            <family val="2"/>
          </rPr>
          <t xml:space="preserve">
Full pH range = 7.48-8.14 with median values used for calculations (7.77)</t>
        </r>
      </text>
    </comment>
    <comment ref="BC63" authorId="0" shapeId="0" xr:uid="{12B0922F-20B9-41EB-85AF-14FFADF7AAB4}">
      <text>
        <r>
          <rPr>
            <b/>
            <sz val="9"/>
            <color indexed="81"/>
            <rFont val="Tahoma"/>
            <family val="2"/>
          </rPr>
          <t>Adams, Merrin (L&amp;W, Lucas Heights):</t>
        </r>
        <r>
          <rPr>
            <sz val="9"/>
            <color indexed="81"/>
            <rFont val="Tahoma"/>
            <family val="2"/>
          </rPr>
          <t xml:space="preserve">
This is a &lt; value</t>
        </r>
      </text>
    </comment>
    <comment ref="U92" authorId="0" shapeId="0" xr:uid="{3F3EEB38-D4D5-435F-A7AF-A10F409A7077}">
      <text>
        <r>
          <rPr>
            <b/>
            <sz val="9"/>
            <color indexed="81"/>
            <rFont val="Tahoma"/>
            <family val="2"/>
          </rPr>
          <t>Adams, Merrin (L&amp;W, Lucas Heights):</t>
        </r>
        <r>
          <rPr>
            <sz val="9"/>
            <color indexed="81"/>
            <rFont val="Tahoma"/>
            <family val="2"/>
          </rPr>
          <t xml:space="preserve">
Data from two experimental runs used</t>
        </r>
      </text>
    </comment>
    <comment ref="W92" authorId="0" shapeId="0" xr:uid="{B0D8425C-C28C-493D-9225-5BD093D2A89C}">
      <text>
        <r>
          <rPr>
            <b/>
            <sz val="9"/>
            <color indexed="81"/>
            <rFont val="Tahoma"/>
            <family val="2"/>
          </rPr>
          <t>Adams, Merrin (L&amp;W, Lucas Heights):</t>
        </r>
        <r>
          <rPr>
            <sz val="9"/>
            <color indexed="81"/>
            <rFont val="Tahoma"/>
            <family val="2"/>
          </rPr>
          <t xml:space="preserve">
pH of dilution water ranged from 7.4-7.6, hence 7.5 reported here</t>
        </r>
      </text>
    </comment>
    <comment ref="U94" authorId="0" shapeId="0" xr:uid="{99239098-2743-4703-97B1-53E3B1102669}">
      <text>
        <r>
          <rPr>
            <b/>
            <sz val="9"/>
            <color indexed="81"/>
            <rFont val="Tahoma"/>
            <family val="2"/>
          </rPr>
          <t>Adams, Merrin (L&amp;W, Lucas Heights):</t>
        </r>
        <r>
          <rPr>
            <sz val="9"/>
            <color indexed="81"/>
            <rFont val="Tahoma"/>
            <family val="2"/>
          </rPr>
          <t xml:space="preserve">
Data from two experimental runs used</t>
        </r>
      </text>
    </comment>
    <comment ref="W94" authorId="0" shapeId="0" xr:uid="{C82C1F13-A446-4ED5-AF96-6D9645B0D718}">
      <text>
        <r>
          <rPr>
            <b/>
            <sz val="9"/>
            <color indexed="81"/>
            <rFont val="Tahoma"/>
            <family val="2"/>
          </rPr>
          <t>Adams, Merrin (L&amp;W, Lucas Heights):</t>
        </r>
        <r>
          <rPr>
            <sz val="9"/>
            <color indexed="81"/>
            <rFont val="Tahoma"/>
            <family val="2"/>
          </rPr>
          <t xml:space="preserve">
pH of dilution water ranged from 7.4-7.6, hence 7.5 reported here</t>
        </r>
      </text>
    </comment>
    <comment ref="U95" authorId="0" shapeId="0" xr:uid="{E8255760-8352-443B-A238-A8E93B7434BE}">
      <text>
        <r>
          <rPr>
            <b/>
            <sz val="9"/>
            <color indexed="81"/>
            <rFont val="Tahoma"/>
            <family val="2"/>
          </rPr>
          <t>Adams, Merrin (L&amp;W, Lucas Heights):</t>
        </r>
        <r>
          <rPr>
            <sz val="9"/>
            <color indexed="81"/>
            <rFont val="Tahoma"/>
            <family val="2"/>
          </rPr>
          <t xml:space="preserve">
Data from two experimental runs used</t>
        </r>
      </text>
    </comment>
    <comment ref="W95" authorId="0" shapeId="0" xr:uid="{139805D5-F99B-44AA-8F94-25E0D1DE44E0}">
      <text>
        <r>
          <rPr>
            <b/>
            <sz val="9"/>
            <color indexed="81"/>
            <rFont val="Tahoma"/>
            <family val="2"/>
          </rPr>
          <t>Adams, Merrin (L&amp;W, Lucas Heights):</t>
        </r>
        <r>
          <rPr>
            <sz val="9"/>
            <color indexed="81"/>
            <rFont val="Tahoma"/>
            <family val="2"/>
          </rPr>
          <t xml:space="preserve">
pH of dilution water ranged from 7.4-7.6, hence 7.5 reported here</t>
        </r>
      </text>
    </comment>
    <comment ref="U99" authorId="0" shapeId="0" xr:uid="{A1BE34FB-2EBD-45CF-BBE4-1C545BFE2098}">
      <text>
        <r>
          <rPr>
            <b/>
            <sz val="9"/>
            <color indexed="81"/>
            <rFont val="Tahoma"/>
            <family val="2"/>
          </rPr>
          <t>Adams, Merrin (L&amp;W, Lucas Heights):</t>
        </r>
        <r>
          <rPr>
            <sz val="9"/>
            <color indexed="81"/>
            <rFont val="Tahoma"/>
            <family val="2"/>
          </rPr>
          <t xml:space="preserve">
temperate range; assume avg of 24.1
</t>
        </r>
      </text>
    </comment>
    <comment ref="W99" authorId="0" shapeId="0" xr:uid="{9CB2164A-0F75-40A0-AA4D-B3EDA5290AE7}">
      <text>
        <r>
          <rPr>
            <b/>
            <sz val="9"/>
            <color indexed="81"/>
            <rFont val="Tahoma"/>
            <family val="2"/>
          </rPr>
          <t>Adams, Merrin (L&amp;W, Lucas Heights):</t>
        </r>
        <r>
          <rPr>
            <sz val="9"/>
            <color indexed="81"/>
            <rFont val="Tahoma"/>
            <family val="2"/>
          </rPr>
          <t xml:space="preserve">
assume avg pH of 8.0</t>
        </r>
      </text>
    </comment>
    <comment ref="U100" authorId="0" shapeId="0" xr:uid="{C84AFEAD-580D-4718-BE89-95351D8E9491}">
      <text>
        <r>
          <rPr>
            <b/>
            <sz val="9"/>
            <color indexed="81"/>
            <rFont val="Tahoma"/>
            <family val="2"/>
          </rPr>
          <t>Adams, Merrin (L&amp;W, Lucas Heights):</t>
        </r>
        <r>
          <rPr>
            <sz val="9"/>
            <color indexed="81"/>
            <rFont val="Tahoma"/>
            <family val="2"/>
          </rPr>
          <t xml:space="preserve">
temperate range; assume avg of 24.1
</t>
        </r>
      </text>
    </comment>
    <comment ref="W100" authorId="0" shapeId="0" xr:uid="{C3E7F5D1-CBF3-4EB7-A223-2C6C357F8983}">
      <text>
        <r>
          <rPr>
            <b/>
            <sz val="9"/>
            <color indexed="81"/>
            <rFont val="Tahoma"/>
            <family val="2"/>
          </rPr>
          <t>Adams, Merrin (L&amp;W, Lucas Heights):</t>
        </r>
        <r>
          <rPr>
            <sz val="9"/>
            <color indexed="81"/>
            <rFont val="Tahoma"/>
            <family val="2"/>
          </rPr>
          <t xml:space="preserve">
assume avg pH of 8.0</t>
        </r>
      </text>
    </comment>
    <comment ref="U102" authorId="0" shapeId="0" xr:uid="{1A99058A-3688-4D2F-85FF-CEF29EED387F}">
      <text>
        <r>
          <rPr>
            <b/>
            <sz val="9"/>
            <color indexed="81"/>
            <rFont val="Tahoma"/>
            <family val="2"/>
          </rPr>
          <t>Adams, Merrin (L&amp;W, Lucas Heights):</t>
        </r>
        <r>
          <rPr>
            <sz val="9"/>
            <color indexed="81"/>
            <rFont val="Tahoma"/>
            <family val="2"/>
          </rPr>
          <t xml:space="preserve">
Temperature range across all treatments and control = 23.7-25.8, therefore assume an avg temperature of 24.8 for calculations</t>
        </r>
      </text>
    </comment>
    <comment ref="W102" authorId="0" shapeId="0" xr:uid="{FC065F3F-C8CD-44B2-B291-DCB21E00EC12}">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U107" authorId="0" shapeId="0" xr:uid="{A6212781-BF35-424F-A944-512896BF47CD}">
      <text>
        <r>
          <rPr>
            <b/>
            <sz val="9"/>
            <color indexed="81"/>
            <rFont val="Tahoma"/>
            <family val="2"/>
          </rPr>
          <t>Adams, Merrin (L&amp;W, Lucas Heights):</t>
        </r>
        <r>
          <rPr>
            <sz val="9"/>
            <color indexed="81"/>
            <rFont val="Tahoma"/>
            <family val="2"/>
          </rPr>
          <t xml:space="preserve">
temperate range; assume avg of 24.1
</t>
        </r>
      </text>
    </comment>
    <comment ref="W107" authorId="0" shapeId="0" xr:uid="{9F9CC335-BEDD-4455-80DB-F29A80CBF42A}">
      <text>
        <r>
          <rPr>
            <b/>
            <sz val="9"/>
            <color indexed="81"/>
            <rFont val="Tahoma"/>
            <family val="2"/>
          </rPr>
          <t>Adams, Merrin (L&amp;W, Lucas Heights):</t>
        </r>
        <r>
          <rPr>
            <sz val="9"/>
            <color indexed="81"/>
            <rFont val="Tahoma"/>
            <family val="2"/>
          </rPr>
          <t xml:space="preserve">
assume avg pH of 8.0</t>
        </r>
      </text>
    </comment>
    <comment ref="U108" authorId="0" shapeId="0" xr:uid="{86093DB3-F80F-47AB-869A-2837E62BC972}">
      <text>
        <r>
          <rPr>
            <b/>
            <sz val="9"/>
            <color indexed="81"/>
            <rFont val="Tahoma"/>
            <family val="2"/>
          </rPr>
          <t>Adams, Merrin (L&amp;W, Lucas Heights):</t>
        </r>
        <r>
          <rPr>
            <sz val="9"/>
            <color indexed="81"/>
            <rFont val="Tahoma"/>
            <family val="2"/>
          </rPr>
          <t xml:space="preserve">
Temperature range across all treatments and control = 23.7-25.8, therefore assume an avg temperature of 24.8 for calculations</t>
        </r>
      </text>
    </comment>
    <comment ref="W108" authorId="0" shapeId="0" xr:uid="{4F7FB818-0040-4F3D-825D-CD564818B97C}">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U109" authorId="0" shapeId="0" xr:uid="{51BCF967-A7D9-4C9D-82D5-9C93FF0CAAE1}">
      <text>
        <r>
          <rPr>
            <b/>
            <sz val="9"/>
            <color indexed="81"/>
            <rFont val="Tahoma"/>
            <family val="2"/>
          </rPr>
          <t>Adams, Merrin (L&amp;W, Lucas Heights):</t>
        </r>
        <r>
          <rPr>
            <sz val="9"/>
            <color indexed="81"/>
            <rFont val="Tahoma"/>
            <family val="2"/>
          </rPr>
          <t xml:space="preserve">
Full temperature range, media was used for calculations (25.4)</t>
        </r>
      </text>
    </comment>
    <comment ref="W109" authorId="0" shapeId="0" xr:uid="{135DCD18-73B5-4F2E-A180-08645A2D3CF8}">
      <text>
        <r>
          <rPr>
            <b/>
            <sz val="9"/>
            <color indexed="81"/>
            <rFont val="Tahoma"/>
            <family val="2"/>
          </rPr>
          <t>Adams, Merrin (L&amp;W, Lucas Heights):</t>
        </r>
        <r>
          <rPr>
            <sz val="9"/>
            <color indexed="81"/>
            <rFont val="Tahoma"/>
            <family val="2"/>
          </rPr>
          <t xml:space="preserve">
Full pH range, median was used for calculations (7.90)</t>
        </r>
      </text>
    </comment>
    <comment ref="AA110" authorId="0" shapeId="0" xr:uid="{25B27640-04CF-49EA-8676-D7A89E7E9B00}">
      <text>
        <r>
          <rPr>
            <b/>
            <sz val="9"/>
            <color indexed="81"/>
            <rFont val="Tahoma"/>
            <family val="2"/>
          </rPr>
          <t xml:space="preserve">Adams, Merrin (L&amp;W, Lucas Heights): </t>
        </r>
        <r>
          <rPr>
            <sz val="9"/>
            <color indexed="81"/>
            <rFont val="Tahoma"/>
            <family val="2"/>
          </rPr>
          <t>The</t>
        </r>
        <r>
          <rPr>
            <b/>
            <sz val="9"/>
            <color indexed="81"/>
            <rFont val="Tahoma"/>
            <family val="2"/>
          </rPr>
          <t xml:space="preserve"> </t>
        </r>
        <r>
          <rPr>
            <sz val="9"/>
            <color indexed="81"/>
            <rFont val="Tahoma"/>
            <family val="2"/>
          </rPr>
          <t>NOEC was the highest concentration tested, hence true NOEC would be ≥930</t>
        </r>
      </text>
    </comment>
    <comment ref="U111" authorId="0" shapeId="0" xr:uid="{C1820A19-2483-4FCD-9879-6D23B10590E3}">
      <text>
        <r>
          <rPr>
            <b/>
            <sz val="9"/>
            <color indexed="81"/>
            <rFont val="Tahoma"/>
            <family val="2"/>
          </rPr>
          <t>Adams, Merrin (L&amp;W, Lucas Heights):</t>
        </r>
        <r>
          <rPr>
            <sz val="9"/>
            <color indexed="81"/>
            <rFont val="Tahoma"/>
            <family val="2"/>
          </rPr>
          <t xml:space="preserve">
Temperature range across all treatments and control = 23.7-25.8, therefore assume an avg temperature of 24.8 for calculations</t>
        </r>
      </text>
    </comment>
    <comment ref="W111" authorId="0" shapeId="0" xr:uid="{9D4E9E4D-D64D-4A03-9FBF-2A96EF42A7F5}">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W128" authorId="0" shapeId="0" xr:uid="{B7F61720-6BF4-47B2-B7EA-6F45730C0627}">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29" authorId="0" shapeId="0" xr:uid="{528797AC-5F67-4E99-816C-8889CB1AABE2}">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0" authorId="0" shapeId="0" xr:uid="{BDC2532F-EF80-4259-A017-B2DE1C261D08}">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1" authorId="0" shapeId="0" xr:uid="{EB291594-A1BF-42B1-82E1-0E2E427DF235}">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2" authorId="0" shapeId="0" xr:uid="{88299E58-D3B5-4721-AF9B-A5B792DFA90A}">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3" authorId="0" shapeId="0" xr:uid="{AC199122-0A30-4768-96E2-EE07D3CC7961}">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4" authorId="0" shapeId="0" xr:uid="{6B93F591-A7D9-4370-9996-EDC52054CF02}">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5" authorId="0" shapeId="0" xr:uid="{C6BE8179-4F79-4768-979E-0BDA66C4ED4E}">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6" authorId="0" shapeId="0" xr:uid="{C56C4704-CEA4-4495-94A2-0005C280A79F}">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7" authorId="0" shapeId="0" xr:uid="{FB5CFB38-4C71-452F-BB70-1CA247199355}">
      <text>
        <r>
          <rPr>
            <b/>
            <sz val="9"/>
            <color indexed="81"/>
            <rFont val="Tahoma"/>
            <family val="2"/>
          </rPr>
          <t xml:space="preserve">Adams, Merrin (L&amp;W, Lucas Heights):
</t>
        </r>
        <r>
          <rPr>
            <sz val="9"/>
            <color indexed="81"/>
            <rFont val="Tahoma"/>
            <family val="2"/>
          </rPr>
          <t>an avg pH of 7.3 was used for calculations. Note that these pH are for the ammonia treatments, not the water quality characteristics of the test/diluent water (which was 6.7)</t>
        </r>
      </text>
    </comment>
    <comment ref="W138" authorId="0" shapeId="0" xr:uid="{525B2F06-42FC-4788-A3E7-498F61A8077A}">
      <text>
        <r>
          <rPr>
            <b/>
            <sz val="9"/>
            <color indexed="81"/>
            <rFont val="Tahoma"/>
            <family val="2"/>
          </rPr>
          <t xml:space="preserve">Adams, Merrin (L&amp;W, Lucas Heights):
</t>
        </r>
        <r>
          <rPr>
            <sz val="9"/>
            <color indexed="81"/>
            <rFont val="Tahoma"/>
            <family val="2"/>
          </rPr>
          <t>an avg pH of 7.3 was used for calculations</t>
        </r>
      </text>
    </comment>
    <comment ref="W139" authorId="0" shapeId="0" xr:uid="{BA6D0D0D-3ACA-4DB1-BD15-BF3C59B01DF3}">
      <text>
        <r>
          <rPr>
            <b/>
            <sz val="9"/>
            <color indexed="81"/>
            <rFont val="Tahoma"/>
            <family val="2"/>
          </rPr>
          <t xml:space="preserve">Adams, Merrin (L&amp;W, Lucas Heights):
</t>
        </r>
        <r>
          <rPr>
            <sz val="9"/>
            <color indexed="81"/>
            <rFont val="Tahoma"/>
            <family val="2"/>
          </rPr>
          <t>an avg pH of 7.3 was used for calculations</t>
        </r>
      </text>
    </comment>
    <comment ref="W140" authorId="0" shapeId="0" xr:uid="{8FE8B7B4-01A7-4C29-B68A-73F6D9801159}">
      <text>
        <r>
          <rPr>
            <b/>
            <sz val="9"/>
            <color indexed="81"/>
            <rFont val="Tahoma"/>
            <family val="2"/>
          </rPr>
          <t xml:space="preserve">Adams, Merrin (L&amp;W, Lucas Heights):
</t>
        </r>
        <r>
          <rPr>
            <sz val="9"/>
            <color indexed="81"/>
            <rFont val="Tahoma"/>
            <family val="2"/>
          </rPr>
          <t>an avg pH of 7.3 was used for calculations</t>
        </r>
      </text>
    </comment>
    <comment ref="W141" authorId="0" shapeId="0" xr:uid="{79514CC8-229B-42D8-8537-882E1C89E31A}">
      <text>
        <r>
          <rPr>
            <b/>
            <sz val="9"/>
            <color indexed="81"/>
            <rFont val="Tahoma"/>
            <family val="2"/>
          </rPr>
          <t xml:space="preserve">Adams, Merrin (L&amp;W, Lucas Heights):
</t>
        </r>
        <r>
          <rPr>
            <sz val="9"/>
            <color indexed="81"/>
            <rFont val="Tahoma"/>
            <family val="2"/>
          </rPr>
          <t>an avg pH of 7.3 was used for calculations</t>
        </r>
      </text>
    </comment>
    <comment ref="AJ141" authorId="0" shapeId="0" xr:uid="{377F7EFB-83ED-479D-91A1-738835EEF5D2}">
      <text>
        <r>
          <rPr>
            <b/>
            <sz val="9"/>
            <color indexed="81"/>
            <rFont val="Tahoma"/>
            <family val="2"/>
          </rPr>
          <t>Adams, Merrin (L&amp;W, Lucas Heights):</t>
        </r>
        <r>
          <rPr>
            <sz val="9"/>
            <color indexed="81"/>
            <rFont val="Tahoma"/>
            <family val="2"/>
          </rPr>
          <t xml:space="preserve">
Toxicity value is LC20</t>
        </r>
      </text>
    </comment>
    <comment ref="W142" authorId="0" shapeId="0" xr:uid="{467CD6B9-5E1B-44C4-B675-AF22A8202211}">
      <text>
        <r>
          <rPr>
            <b/>
            <sz val="9"/>
            <color indexed="81"/>
            <rFont val="Tahoma"/>
            <family val="2"/>
          </rPr>
          <t xml:space="preserve">Adams, Merrin (L&amp;W, Lucas Heights):
</t>
        </r>
        <r>
          <rPr>
            <sz val="9"/>
            <color indexed="81"/>
            <rFont val="Tahoma"/>
            <family val="2"/>
          </rPr>
          <t>an avg pH of 7.3 was used for calculations</t>
        </r>
      </text>
    </comment>
    <comment ref="W143" authorId="0" shapeId="0" xr:uid="{8F8B5ADC-58AF-4076-A90C-92DA84E05D42}">
      <text>
        <r>
          <rPr>
            <b/>
            <sz val="9"/>
            <color indexed="81"/>
            <rFont val="Tahoma"/>
            <family val="2"/>
          </rPr>
          <t xml:space="preserve">Adams, Merrin (L&amp;W, Lucas Heights):
</t>
        </r>
        <r>
          <rPr>
            <sz val="9"/>
            <color indexed="81"/>
            <rFont val="Tahoma"/>
            <family val="2"/>
          </rPr>
          <t>an avg pH of 7.3 was used for calculations</t>
        </r>
      </text>
    </comment>
    <comment ref="W144" authorId="0" shapeId="0" xr:uid="{304E57AF-46D7-4C98-889A-91FF47783942}">
      <text>
        <r>
          <rPr>
            <b/>
            <sz val="9"/>
            <color indexed="81"/>
            <rFont val="Tahoma"/>
            <family val="2"/>
          </rPr>
          <t>Adams, Merrin (L&amp;W, Lucas Heights):</t>
        </r>
        <r>
          <rPr>
            <sz val="9"/>
            <color indexed="81"/>
            <rFont val="Tahoma"/>
            <family val="2"/>
          </rPr>
          <t xml:space="preserve">
an avg pH of 7.2 was used for calculations</t>
        </r>
      </text>
    </comment>
    <comment ref="W145" authorId="0" shapeId="0" xr:uid="{C54C21A6-98CE-422F-B2B9-790FC4FA9E45}">
      <text>
        <r>
          <rPr>
            <b/>
            <sz val="9"/>
            <color indexed="81"/>
            <rFont val="Tahoma"/>
            <family val="2"/>
          </rPr>
          <t>Adams, Merrin (L&amp;W, Lucas Heights):</t>
        </r>
        <r>
          <rPr>
            <sz val="9"/>
            <color indexed="81"/>
            <rFont val="Tahoma"/>
            <family val="2"/>
          </rPr>
          <t xml:space="preserve">
an avg pH of 7.2 was used for calculations</t>
        </r>
      </text>
    </comment>
    <comment ref="W146" authorId="0" shapeId="0" xr:uid="{6303868D-C61E-4044-ADE7-DE02B5796856}">
      <text>
        <r>
          <rPr>
            <b/>
            <sz val="9"/>
            <color indexed="81"/>
            <rFont val="Tahoma"/>
            <family val="2"/>
          </rPr>
          <t>Adams, Merrin (L&amp;W, Lucas Heights):</t>
        </r>
        <r>
          <rPr>
            <sz val="9"/>
            <color indexed="81"/>
            <rFont val="Tahoma"/>
            <family val="2"/>
          </rPr>
          <t xml:space="preserve">
an avg pH of 7.2 was used for calculations</t>
        </r>
      </text>
    </comment>
    <comment ref="W147" authorId="0" shapeId="0" xr:uid="{6AD75FBF-0849-43B1-A4E7-15BFD2FCBFF9}">
      <text>
        <r>
          <rPr>
            <b/>
            <sz val="9"/>
            <color indexed="81"/>
            <rFont val="Tahoma"/>
            <family val="2"/>
          </rPr>
          <t>Adams, Merrin (L&amp;W, Lucas Heights):</t>
        </r>
        <r>
          <rPr>
            <sz val="9"/>
            <color indexed="81"/>
            <rFont val="Tahoma"/>
            <family val="2"/>
          </rPr>
          <t xml:space="preserve">
an avg pH of 7.2 was used for calculations</t>
        </r>
      </text>
    </comment>
    <comment ref="W148" authorId="0" shapeId="0" xr:uid="{E870B38F-CA66-4F4F-ADF3-1E3FBE24F95F}">
      <text>
        <r>
          <rPr>
            <b/>
            <sz val="9"/>
            <color indexed="81"/>
            <rFont val="Tahoma"/>
            <family val="2"/>
          </rPr>
          <t>Adams, Merrin (L&amp;W, Lucas Heights):</t>
        </r>
        <r>
          <rPr>
            <sz val="9"/>
            <color indexed="81"/>
            <rFont val="Tahoma"/>
            <family val="2"/>
          </rPr>
          <t xml:space="preserve">
an avg pH of 7.2 was used for calculations</t>
        </r>
      </text>
    </comment>
    <comment ref="W149" authorId="0" shapeId="0" xr:uid="{000E1A60-AE02-4234-B348-002FC14A0DA1}">
      <text>
        <r>
          <rPr>
            <b/>
            <sz val="9"/>
            <color indexed="81"/>
            <rFont val="Tahoma"/>
            <family val="2"/>
          </rPr>
          <t>Adams, Merrin (L&amp;W, Lucas Heights):</t>
        </r>
        <r>
          <rPr>
            <sz val="9"/>
            <color indexed="81"/>
            <rFont val="Tahoma"/>
            <family val="2"/>
          </rPr>
          <t xml:space="preserve">
an avg pH of 7.2 was used for calculations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Adams, Merrin (L&amp;W, Lucas Heights)</author>
  </authors>
  <commentList>
    <comment ref="S8" authorId="0" shapeId="0" xr:uid="{D7E6AC22-6173-4E6C-9621-3ED70F7FBFFD}">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9" authorId="0" shapeId="0" xr:uid="{531FC430-E3BF-4800-AB57-5056213716A1}">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0" authorId="0" shapeId="0" xr:uid="{5E557524-45D6-41DD-950B-D3A2A99CD941}">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5" authorId="0" shapeId="0" xr:uid="{56F8A127-AD19-4894-86AA-49ED6359137F}">
      <text>
        <r>
          <rPr>
            <b/>
            <sz val="9"/>
            <color indexed="81"/>
            <rFont val="Tahoma"/>
            <family val="2"/>
          </rPr>
          <t>Adams, Merrin (L&amp;W, Lucas Heights):</t>
        </r>
        <r>
          <rPr>
            <sz val="9"/>
            <color indexed="81"/>
            <rFont val="Tahoma"/>
            <family val="2"/>
          </rPr>
          <t xml:space="preserve">
pH range for all treatments and control with an avg of 8.26</t>
        </r>
      </text>
    </comment>
    <comment ref="Q17" authorId="0" shapeId="0" xr:uid="{A63597F9-4A80-42BA-AAAE-958499C74F47}">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7" authorId="0" shapeId="0" xr:uid="{B86C8E91-0D88-4727-9B3F-83B0167FE500}">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8" authorId="0" shapeId="0" xr:uid="{311CB23D-FF51-4B37-8B47-268FC095B3D0}">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9" authorId="0" shapeId="0" xr:uid="{9EEEFF6A-312E-4DF2-B9DE-FC2774A3387A}">
      <text>
        <r>
          <rPr>
            <b/>
            <sz val="9"/>
            <color indexed="81"/>
            <rFont val="Tahoma"/>
            <family val="2"/>
          </rPr>
          <t>Adams, Merrin (L&amp;W, Lucas Heights):</t>
        </r>
        <r>
          <rPr>
            <sz val="9"/>
            <color indexed="81"/>
            <rFont val="Tahoma"/>
            <family val="2"/>
          </rPr>
          <t xml:space="preserve">
This is a &lt; value
</t>
        </r>
      </text>
    </comment>
    <comment ref="S23" authorId="0" shapeId="0" xr:uid="{17CA1BF1-B60B-45F6-BC72-6758964E96E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4" authorId="0" shapeId="0" xr:uid="{EBE86309-BEF8-4A0C-BA3D-3733D14F2829}">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5" authorId="0" shapeId="0" xr:uid="{D8DCCA9F-F5AF-46FA-8004-16DD3122566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30" authorId="0" shapeId="0" xr:uid="{DBE15CF9-8DFB-4783-8E7E-DF61DC73D255}">
      <text>
        <r>
          <rPr>
            <b/>
            <sz val="9"/>
            <color indexed="81"/>
            <rFont val="Tahoma"/>
            <family val="2"/>
          </rPr>
          <t>Adams, Merrin (L&amp;W, Lucas Heights):</t>
        </r>
        <r>
          <rPr>
            <sz val="9"/>
            <color indexed="81"/>
            <rFont val="Tahoma"/>
            <family val="2"/>
          </rPr>
          <t xml:space="preserve">
pH range for all treatments and control with an avg of 8.26</t>
        </r>
      </text>
    </comment>
    <comment ref="Q32" authorId="0" shapeId="0" xr:uid="{172076F4-2FB4-480F-8BCA-BF1F67ED5A2C}">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32" authorId="0" shapeId="0" xr:uid="{A401D7C0-7685-4303-9C19-19F3FAB5A0E8}">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33" authorId="0" shapeId="0" xr:uid="{BFEC50A4-DC58-40FA-8053-9BBCCF98B020}">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34" authorId="0" shapeId="0" xr:uid="{25CFC1AA-EA0F-4E0C-8D64-E4949EB5495C}">
      <text>
        <r>
          <rPr>
            <b/>
            <sz val="9"/>
            <color indexed="81"/>
            <rFont val="Tahoma"/>
            <family val="2"/>
          </rPr>
          <t>Adams, Merrin (L&amp;W, Lucas Heights):</t>
        </r>
        <r>
          <rPr>
            <sz val="9"/>
            <color indexed="81"/>
            <rFont val="Tahoma"/>
            <family val="2"/>
          </rPr>
          <t xml:space="preserve">
This is a &lt; value
</t>
        </r>
      </text>
    </comment>
    <comment ref="S38" authorId="0" shapeId="0" xr:uid="{9547F3C9-69B6-446E-97D8-0394035B99A5}">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39" authorId="0" shapeId="0" xr:uid="{1DAF670F-4FC0-4DA4-B8E2-8A9FC71A0EAF}">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40" authorId="0" shapeId="0" xr:uid="{85DDD070-E4FA-4ABF-B48F-141F5CEE4E45}">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45" authorId="0" shapeId="0" xr:uid="{F2E1A067-5917-40F7-A7C2-9D542B648CC7}">
      <text>
        <r>
          <rPr>
            <b/>
            <sz val="9"/>
            <color indexed="81"/>
            <rFont val="Tahoma"/>
            <family val="2"/>
          </rPr>
          <t>Adams, Merrin (L&amp;W, Lucas Heights):</t>
        </r>
        <r>
          <rPr>
            <sz val="9"/>
            <color indexed="81"/>
            <rFont val="Tahoma"/>
            <family val="2"/>
          </rPr>
          <t xml:space="preserve">
pH range for all treatments and control with an avg of 8.26</t>
        </r>
      </text>
    </comment>
    <comment ref="Q47" authorId="0" shapeId="0" xr:uid="{6118F994-C168-41EE-9975-7B98953A93E5}">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47" authorId="0" shapeId="0" xr:uid="{D4BF3181-2324-4B96-9135-990EC727C513}">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48" authorId="0" shapeId="0" xr:uid="{6A9B8E45-8997-4E28-BAE4-79587FB4CC50}">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49" authorId="0" shapeId="0" xr:uid="{AB2EB6BC-3413-49F0-A561-045737179D21}">
      <text>
        <r>
          <rPr>
            <b/>
            <sz val="9"/>
            <color indexed="81"/>
            <rFont val="Tahoma"/>
            <family val="2"/>
          </rPr>
          <t>Adams, Merrin (L&amp;W, Lucas Heights):</t>
        </r>
        <r>
          <rPr>
            <sz val="9"/>
            <color indexed="81"/>
            <rFont val="Tahoma"/>
            <family val="2"/>
          </rPr>
          <t xml:space="preserve">
This is a &lt; value
</t>
        </r>
      </text>
    </comment>
    <comment ref="S53" authorId="0" shapeId="0" xr:uid="{E952EE91-167F-49C6-B705-0DA3098589F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54" authorId="0" shapeId="0" xr:uid="{AD20E5CE-04D1-4282-9003-3E9135D20F4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55" authorId="0" shapeId="0" xr:uid="{7F92391B-D116-4396-BDFC-EA9787CFA29A}">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60" authorId="0" shapeId="0" xr:uid="{960845AA-B51A-43BF-8593-9E1C753F1860}">
      <text>
        <r>
          <rPr>
            <b/>
            <sz val="9"/>
            <color indexed="81"/>
            <rFont val="Tahoma"/>
            <family val="2"/>
          </rPr>
          <t>Adams, Merrin (L&amp;W, Lucas Heights):</t>
        </r>
        <r>
          <rPr>
            <sz val="9"/>
            <color indexed="81"/>
            <rFont val="Tahoma"/>
            <family val="2"/>
          </rPr>
          <t xml:space="preserve">
pH range for all treatments and control with an avg of 8.26</t>
        </r>
      </text>
    </comment>
    <comment ref="Q62" authorId="0" shapeId="0" xr:uid="{91A61D50-9B10-413C-9D27-531B6B822937}">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62" authorId="0" shapeId="0" xr:uid="{781FA8B0-9CE8-4EC0-AD47-2A309CA6F212}">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63" authorId="0" shapeId="0" xr:uid="{4CDBF0EB-3E3D-4562-B743-A3370DDAABE7}">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64" authorId="0" shapeId="0" xr:uid="{8A22D011-875F-4490-822F-FA329E8B6B1F}">
      <text>
        <r>
          <rPr>
            <b/>
            <sz val="9"/>
            <color indexed="81"/>
            <rFont val="Tahoma"/>
            <family val="2"/>
          </rPr>
          <t>Adams, Merrin (L&amp;W, Lucas Heights):</t>
        </r>
        <r>
          <rPr>
            <sz val="9"/>
            <color indexed="81"/>
            <rFont val="Tahoma"/>
            <family val="2"/>
          </rPr>
          <t xml:space="preserve">
This is a &lt; value
</t>
        </r>
      </text>
    </comment>
    <comment ref="S68" authorId="0" shapeId="0" xr:uid="{EA90EB62-A26C-4D52-94CB-60727ABCABE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69" authorId="0" shapeId="0" xr:uid="{35CC9C6E-C59D-40A8-96BE-E8ED0390505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70" authorId="0" shapeId="0" xr:uid="{8ADDAD90-0795-4635-86F5-2D2203E8F05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75" authorId="0" shapeId="0" xr:uid="{D399EC88-2E9A-4C6D-9635-5D7D0712F13F}">
      <text>
        <r>
          <rPr>
            <b/>
            <sz val="9"/>
            <color indexed="81"/>
            <rFont val="Tahoma"/>
            <family val="2"/>
          </rPr>
          <t>Adams, Merrin (L&amp;W, Lucas Heights):</t>
        </r>
        <r>
          <rPr>
            <sz val="9"/>
            <color indexed="81"/>
            <rFont val="Tahoma"/>
            <family val="2"/>
          </rPr>
          <t xml:space="preserve">
pH range for all treatments and control with an avg of 8.26</t>
        </r>
      </text>
    </comment>
    <comment ref="Q77" authorId="0" shapeId="0" xr:uid="{A3D98AF1-F7AB-4F68-BE12-49135D8D1399}">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77" authorId="0" shapeId="0" xr:uid="{579368A6-9F26-4CE7-B554-16AC36171567}">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78" authorId="0" shapeId="0" xr:uid="{694F11FA-7F41-4592-8518-24C59A08549A}">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79" authorId="0" shapeId="0" xr:uid="{82595074-C590-4DFB-BB5B-66CD2A48417D}">
      <text>
        <r>
          <rPr>
            <b/>
            <sz val="9"/>
            <color indexed="81"/>
            <rFont val="Tahoma"/>
            <family val="2"/>
          </rPr>
          <t>Adams, Merrin (L&amp;W, Lucas Heights):</t>
        </r>
        <r>
          <rPr>
            <sz val="9"/>
            <color indexed="81"/>
            <rFont val="Tahoma"/>
            <family val="2"/>
          </rPr>
          <t xml:space="preserve">
This is a &lt; value
</t>
        </r>
      </text>
    </comment>
    <comment ref="S83" authorId="0" shapeId="0" xr:uid="{0D3F016B-3F0B-4E0F-948E-B43F043942B8}">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84" authorId="0" shapeId="0" xr:uid="{441C0E57-A4AF-4DFC-97AE-7A7D343E8A7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85" authorId="0" shapeId="0" xr:uid="{CC36E347-0003-4F53-BD34-727E3017087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90" authorId="0" shapeId="0" xr:uid="{AD804400-2024-42F5-9916-C5D1A06D0077}">
      <text>
        <r>
          <rPr>
            <b/>
            <sz val="9"/>
            <color indexed="81"/>
            <rFont val="Tahoma"/>
            <family val="2"/>
          </rPr>
          <t>Adams, Merrin (L&amp;W, Lucas Heights):</t>
        </r>
        <r>
          <rPr>
            <sz val="9"/>
            <color indexed="81"/>
            <rFont val="Tahoma"/>
            <family val="2"/>
          </rPr>
          <t xml:space="preserve">
pH range for all treatments and control with an avg of 8.26</t>
        </r>
      </text>
    </comment>
    <comment ref="Q92" authorId="0" shapeId="0" xr:uid="{2FD90447-46F5-4C7E-8823-42AE9E88D4FF}">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92" authorId="0" shapeId="0" xr:uid="{8F247E25-5131-479A-91AA-BFF663D31122}">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93" authorId="0" shapeId="0" xr:uid="{FB842B3B-8A67-419C-8A7B-F5799B845FA1}">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94" authorId="0" shapeId="0" xr:uid="{74CB30BD-2CF1-4278-8D63-B2605B6CB50D}">
      <text>
        <r>
          <rPr>
            <b/>
            <sz val="9"/>
            <color indexed="81"/>
            <rFont val="Tahoma"/>
            <family val="2"/>
          </rPr>
          <t>Adams, Merrin (L&amp;W, Lucas Heights):</t>
        </r>
        <r>
          <rPr>
            <sz val="9"/>
            <color indexed="81"/>
            <rFont val="Tahoma"/>
            <family val="2"/>
          </rPr>
          <t xml:space="preserve">
This is a &lt; value
</t>
        </r>
      </text>
    </comment>
    <comment ref="S98" authorId="0" shapeId="0" xr:uid="{E20707A5-BAA1-40FC-9B58-3B7A3821AC2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99" authorId="0" shapeId="0" xr:uid="{0A8C9CAC-F88C-48E9-A016-A9A733F5A61A}">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00" authorId="0" shapeId="0" xr:uid="{4C2D8055-A752-4B31-8C14-1B03E41BB09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05" authorId="0" shapeId="0" xr:uid="{EF1C3146-7725-4FD3-A8AF-B4B21CD3EBE6}">
      <text>
        <r>
          <rPr>
            <b/>
            <sz val="9"/>
            <color indexed="81"/>
            <rFont val="Tahoma"/>
            <family val="2"/>
          </rPr>
          <t>Adams, Merrin (L&amp;W, Lucas Heights):</t>
        </r>
        <r>
          <rPr>
            <sz val="9"/>
            <color indexed="81"/>
            <rFont val="Tahoma"/>
            <family val="2"/>
          </rPr>
          <t xml:space="preserve">
pH range for all treatments and control with an avg of 8.26</t>
        </r>
      </text>
    </comment>
    <comment ref="Q107" authorId="0" shapeId="0" xr:uid="{A9486D9F-4C48-4867-AAA0-968EC0636B1B}">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07" authorId="0" shapeId="0" xr:uid="{3D7B58EA-1FBD-430F-B8FB-EDF7E442866F}">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08" authorId="0" shapeId="0" xr:uid="{60D88E9C-C51F-4BAD-8295-2055EB45556E}">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09" authorId="0" shapeId="0" xr:uid="{A5595702-AD2D-4A24-9437-66095574EC8E}">
      <text>
        <r>
          <rPr>
            <b/>
            <sz val="9"/>
            <color indexed="81"/>
            <rFont val="Tahoma"/>
            <family val="2"/>
          </rPr>
          <t>Adams, Merrin (L&amp;W, Lucas Heights):</t>
        </r>
        <r>
          <rPr>
            <sz val="9"/>
            <color indexed="81"/>
            <rFont val="Tahoma"/>
            <family val="2"/>
          </rPr>
          <t xml:space="preserve">
This is a &lt; value
</t>
        </r>
      </text>
    </comment>
    <comment ref="S113" authorId="0" shapeId="0" xr:uid="{23DB230D-36EF-4168-99D0-25ACD6F68F39}">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14" authorId="0" shapeId="0" xr:uid="{FBB096DC-7971-4424-8DEA-5800BF368C5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15" authorId="0" shapeId="0" xr:uid="{F62ECF3C-F8FD-410F-AA43-3088B9937DA4}">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20" authorId="0" shapeId="0" xr:uid="{3831544C-9132-4B20-9068-85E33DF4E644}">
      <text>
        <r>
          <rPr>
            <b/>
            <sz val="9"/>
            <color indexed="81"/>
            <rFont val="Tahoma"/>
            <family val="2"/>
          </rPr>
          <t>Adams, Merrin (L&amp;W, Lucas Heights):</t>
        </r>
        <r>
          <rPr>
            <sz val="9"/>
            <color indexed="81"/>
            <rFont val="Tahoma"/>
            <family val="2"/>
          </rPr>
          <t xml:space="preserve">
pH range for all treatments and control with an avg of 8.26</t>
        </r>
      </text>
    </comment>
    <comment ref="Q122" authorId="0" shapeId="0" xr:uid="{1D3F5AE6-5B3C-4C1B-94A8-237F9762DA5F}">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22" authorId="0" shapeId="0" xr:uid="{13294B82-B2D0-4EEE-9D0C-F7CF2289F22A}">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23" authorId="0" shapeId="0" xr:uid="{8F6D8334-AFE1-4D10-B03E-B7B2158A99FE}">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24" authorId="0" shapeId="0" xr:uid="{E71DF1A2-024E-46C8-AD16-F93B200BA1C8}">
      <text>
        <r>
          <rPr>
            <b/>
            <sz val="9"/>
            <color indexed="81"/>
            <rFont val="Tahoma"/>
            <family val="2"/>
          </rPr>
          <t>Adams, Merrin (L&amp;W, Lucas Heights):</t>
        </r>
        <r>
          <rPr>
            <sz val="9"/>
            <color indexed="81"/>
            <rFont val="Tahoma"/>
            <family val="2"/>
          </rPr>
          <t xml:space="preserve">
This is a &lt; value
</t>
        </r>
      </text>
    </comment>
    <comment ref="S128" authorId="0" shapeId="0" xr:uid="{95C6A38B-8618-4EE2-ACB0-B808B125B55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29" authorId="0" shapeId="0" xr:uid="{8A5B6B17-07A2-4962-BF95-05C76DA947E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30" authorId="0" shapeId="0" xr:uid="{558DD1FC-1DE1-4570-A6DB-6C4058AAE6DA}">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35" authorId="0" shapeId="0" xr:uid="{138A8713-B485-40A6-BF78-2D9B7F6DD2E2}">
      <text>
        <r>
          <rPr>
            <b/>
            <sz val="9"/>
            <color indexed="81"/>
            <rFont val="Tahoma"/>
            <family val="2"/>
          </rPr>
          <t>Adams, Merrin (L&amp;W, Lucas Heights):</t>
        </r>
        <r>
          <rPr>
            <sz val="9"/>
            <color indexed="81"/>
            <rFont val="Tahoma"/>
            <family val="2"/>
          </rPr>
          <t xml:space="preserve">
pH range for all treatments and control with an avg of 8.26</t>
        </r>
      </text>
    </comment>
    <comment ref="Q137" authorId="0" shapeId="0" xr:uid="{91E6B4FB-061F-4AAE-8091-59D47E91A579}">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37" authorId="0" shapeId="0" xr:uid="{8BD8D8C0-8EE7-40BC-9FF6-0C7B7A2BAD1F}">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38" authorId="0" shapeId="0" xr:uid="{09453D7A-CA81-43B5-94E0-2A0D0EFE6180}">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39" authorId="0" shapeId="0" xr:uid="{8317A518-D2B3-4AAD-B21B-F48AF78521A2}">
      <text>
        <r>
          <rPr>
            <b/>
            <sz val="9"/>
            <color indexed="81"/>
            <rFont val="Tahoma"/>
            <family val="2"/>
          </rPr>
          <t>Adams, Merrin (L&amp;W, Lucas Heights):</t>
        </r>
        <r>
          <rPr>
            <sz val="9"/>
            <color indexed="81"/>
            <rFont val="Tahoma"/>
            <family val="2"/>
          </rPr>
          <t xml:space="preserve">
This is a &lt; value
</t>
        </r>
      </text>
    </comment>
    <comment ref="S143" authorId="0" shapeId="0" xr:uid="{583FE24B-CEEB-486F-B492-A74501CA724D}">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44" authorId="0" shapeId="0" xr:uid="{BBDE5FDC-3F0F-479F-929C-6780BE0AB7D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45" authorId="0" shapeId="0" xr:uid="{14E2D15F-A90F-423F-8CA8-E12B05135CC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50" authorId="0" shapeId="0" xr:uid="{B396EACB-4EA9-47B9-9114-94C818AA1BE3}">
      <text>
        <r>
          <rPr>
            <b/>
            <sz val="9"/>
            <color indexed="81"/>
            <rFont val="Tahoma"/>
            <family val="2"/>
          </rPr>
          <t>Adams, Merrin (L&amp;W, Lucas Heights):</t>
        </r>
        <r>
          <rPr>
            <sz val="9"/>
            <color indexed="81"/>
            <rFont val="Tahoma"/>
            <family val="2"/>
          </rPr>
          <t xml:space="preserve">
pH range for all treatments and control with an avg of 8.26</t>
        </r>
      </text>
    </comment>
    <comment ref="Q152" authorId="0" shapeId="0" xr:uid="{2D5FCFC2-382D-4600-A60F-7EB889FD227C}">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52" authorId="0" shapeId="0" xr:uid="{FC7737E4-5215-44CF-A5CC-F867900FB290}">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53" authorId="0" shapeId="0" xr:uid="{908C3615-CAAD-4704-9E46-35F05196AEE8}">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54" authorId="0" shapeId="0" xr:uid="{24039E9E-361E-4B15-9959-175D98838FBA}">
      <text>
        <r>
          <rPr>
            <b/>
            <sz val="9"/>
            <color indexed="81"/>
            <rFont val="Tahoma"/>
            <family val="2"/>
          </rPr>
          <t>Adams, Merrin (L&amp;W, Lucas Heights):</t>
        </r>
        <r>
          <rPr>
            <sz val="9"/>
            <color indexed="81"/>
            <rFont val="Tahoma"/>
            <family val="2"/>
          </rPr>
          <t xml:space="preserve">
This is a &lt; value
</t>
        </r>
      </text>
    </comment>
    <comment ref="S158" authorId="0" shapeId="0" xr:uid="{235C8B2E-50A8-48FF-9DA1-1E8931988D4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59" authorId="0" shapeId="0" xr:uid="{4D58555E-8DCD-4C11-8398-831DFFB7E8C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60" authorId="0" shapeId="0" xr:uid="{A7F7FD64-4CF1-4B86-8AA5-21AF419906F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65" authorId="0" shapeId="0" xr:uid="{1BE83548-E6C0-4144-BFAF-E7781B732FA0}">
      <text>
        <r>
          <rPr>
            <b/>
            <sz val="9"/>
            <color indexed="81"/>
            <rFont val="Tahoma"/>
            <family val="2"/>
          </rPr>
          <t>Adams, Merrin (L&amp;W, Lucas Heights):</t>
        </r>
        <r>
          <rPr>
            <sz val="9"/>
            <color indexed="81"/>
            <rFont val="Tahoma"/>
            <family val="2"/>
          </rPr>
          <t xml:space="preserve">
pH range for all treatments and control with an avg of 8.26</t>
        </r>
      </text>
    </comment>
    <comment ref="Q167" authorId="0" shapeId="0" xr:uid="{57A4DA17-F8B1-41EF-84C0-1EA3A78C41B0}">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67" authorId="0" shapeId="0" xr:uid="{8B093250-B553-4365-BE24-EDDA7FC86BCC}">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68" authorId="0" shapeId="0" xr:uid="{6F6AC5AB-76FB-4DBD-B99E-E0D10D2DCD58}">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69" authorId="0" shapeId="0" xr:uid="{019FA985-D74D-416D-94D1-64C9A2E3E362}">
      <text>
        <r>
          <rPr>
            <b/>
            <sz val="9"/>
            <color indexed="81"/>
            <rFont val="Tahoma"/>
            <family val="2"/>
          </rPr>
          <t>Adams, Merrin (L&amp;W, Lucas Heights):</t>
        </r>
        <r>
          <rPr>
            <sz val="9"/>
            <color indexed="81"/>
            <rFont val="Tahoma"/>
            <family val="2"/>
          </rPr>
          <t xml:space="preserve">
This is a &lt; value
</t>
        </r>
      </text>
    </comment>
    <comment ref="S173" authorId="0" shapeId="0" xr:uid="{7300415A-2E4F-4C98-915B-3266059544E1}">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74" authorId="0" shapeId="0" xr:uid="{7CD18D71-AF1C-417E-B329-B9887C3A5A1E}">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75" authorId="0" shapeId="0" xr:uid="{7C1A4A9F-25EC-4C77-826B-49F86CFCAC07}">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80" authorId="0" shapeId="0" xr:uid="{F6E3D215-1515-404E-94EE-E3EBB44F13DE}">
      <text>
        <r>
          <rPr>
            <b/>
            <sz val="9"/>
            <color indexed="81"/>
            <rFont val="Tahoma"/>
            <family val="2"/>
          </rPr>
          <t>Adams, Merrin (L&amp;W, Lucas Heights):</t>
        </r>
        <r>
          <rPr>
            <sz val="9"/>
            <color indexed="81"/>
            <rFont val="Tahoma"/>
            <family val="2"/>
          </rPr>
          <t xml:space="preserve">
pH range for all treatments and control with an avg of 8.26</t>
        </r>
      </text>
    </comment>
    <comment ref="Q182" authorId="0" shapeId="0" xr:uid="{3D9BA726-616B-40AA-B9F2-B0F3A919C48F}">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82" authorId="0" shapeId="0" xr:uid="{58FA010C-D56E-4D49-B24D-518E34E3EC1D}">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83" authorId="0" shapeId="0" xr:uid="{FBA8EF2F-5A55-4EA4-B4A0-177110686A81}">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84" authorId="0" shapeId="0" xr:uid="{CB71AA2D-16D0-44A1-86A2-9625FF12A86E}">
      <text>
        <r>
          <rPr>
            <b/>
            <sz val="9"/>
            <color indexed="81"/>
            <rFont val="Tahoma"/>
            <family val="2"/>
          </rPr>
          <t>Adams, Merrin (L&amp;W, Lucas Heights):</t>
        </r>
        <r>
          <rPr>
            <sz val="9"/>
            <color indexed="81"/>
            <rFont val="Tahoma"/>
            <family val="2"/>
          </rPr>
          <t xml:space="preserve">
This is a &lt; value
</t>
        </r>
      </text>
    </comment>
    <comment ref="S188" authorId="0" shapeId="0" xr:uid="{8B6E1AE6-255A-4B77-BC08-8EF3C1E01871}">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89" authorId="0" shapeId="0" xr:uid="{C4742AAC-29BA-47C5-8230-95BEF84C110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90" authorId="0" shapeId="0" xr:uid="{C07941D3-EA5C-4419-B9D5-3BE9E962322B}">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195" authorId="0" shapeId="0" xr:uid="{54B7723B-0FEB-4A16-A1B4-0865AEB433CB}">
      <text>
        <r>
          <rPr>
            <b/>
            <sz val="9"/>
            <color indexed="81"/>
            <rFont val="Tahoma"/>
            <family val="2"/>
          </rPr>
          <t>Adams, Merrin (L&amp;W, Lucas Heights):</t>
        </r>
        <r>
          <rPr>
            <sz val="9"/>
            <color indexed="81"/>
            <rFont val="Tahoma"/>
            <family val="2"/>
          </rPr>
          <t xml:space="preserve">
pH range for all treatments and control with an avg of 8.26</t>
        </r>
      </text>
    </comment>
    <comment ref="Q197" authorId="0" shapeId="0" xr:uid="{2E8702C9-797F-49CB-AB43-53B5D0F3094C}">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197" authorId="0" shapeId="0" xr:uid="{17EABB9A-F63C-4598-8C81-720B88A3A572}">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198" authorId="0" shapeId="0" xr:uid="{4D09C6EA-24E9-4991-BE27-16F416A3D964}">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199" authorId="0" shapeId="0" xr:uid="{855D458A-F4B0-4A61-8B07-053CBAEB21C2}">
      <text>
        <r>
          <rPr>
            <b/>
            <sz val="9"/>
            <color indexed="81"/>
            <rFont val="Tahoma"/>
            <family val="2"/>
          </rPr>
          <t>Adams, Merrin (L&amp;W, Lucas Heights):</t>
        </r>
        <r>
          <rPr>
            <sz val="9"/>
            <color indexed="81"/>
            <rFont val="Tahoma"/>
            <family val="2"/>
          </rPr>
          <t xml:space="preserve">
This is a &lt; value
</t>
        </r>
      </text>
    </comment>
    <comment ref="S203" authorId="0" shapeId="0" xr:uid="{53C51F36-BB3F-410E-9787-AC14BC57DE8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04" authorId="0" shapeId="0" xr:uid="{58F2D1EA-C81C-48A9-98EA-57D17D69E08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05" authorId="0" shapeId="0" xr:uid="{CE55F0D5-0D64-47A2-AA1B-F87DCA6DA4AF}">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10" authorId="0" shapeId="0" xr:uid="{4E595834-BF5F-493E-AC7E-A9D73B1BF08D}">
      <text>
        <r>
          <rPr>
            <b/>
            <sz val="9"/>
            <color indexed="81"/>
            <rFont val="Tahoma"/>
            <family val="2"/>
          </rPr>
          <t>Adams, Merrin (L&amp;W, Lucas Heights):</t>
        </r>
        <r>
          <rPr>
            <sz val="9"/>
            <color indexed="81"/>
            <rFont val="Tahoma"/>
            <family val="2"/>
          </rPr>
          <t xml:space="preserve">
pH range for all treatments and control with an avg of 8.26</t>
        </r>
      </text>
    </comment>
    <comment ref="Q212" authorId="0" shapeId="0" xr:uid="{D204128E-0B6F-4878-9615-F658C85E7E78}">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12" authorId="0" shapeId="0" xr:uid="{41085A00-4213-48C7-BAC3-E42C517B989F}">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13" authorId="0" shapeId="0" xr:uid="{F8212175-0E70-41B1-BD77-862EA40F8844}">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14" authorId="0" shapeId="0" xr:uid="{1BAE12F0-96F1-4E0F-B307-975B532EA949}">
      <text>
        <r>
          <rPr>
            <b/>
            <sz val="9"/>
            <color indexed="81"/>
            <rFont val="Tahoma"/>
            <family val="2"/>
          </rPr>
          <t>Adams, Merrin (L&amp;W, Lucas Heights):</t>
        </r>
        <r>
          <rPr>
            <sz val="9"/>
            <color indexed="81"/>
            <rFont val="Tahoma"/>
            <family val="2"/>
          </rPr>
          <t xml:space="preserve">
This is a &lt; value
</t>
        </r>
      </text>
    </comment>
    <comment ref="S218" authorId="0" shapeId="0" xr:uid="{18D00336-3D2C-41F2-AA2A-F0418C7DE94F}">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19" authorId="0" shapeId="0" xr:uid="{E975CC6C-749F-4C9F-AA8F-CB2785A254F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20" authorId="0" shapeId="0" xr:uid="{8F383108-96A3-4BF1-817F-D57FCE338A7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25" authorId="0" shapeId="0" xr:uid="{358EB56E-C419-44D8-8E51-9FD811F297B7}">
      <text>
        <r>
          <rPr>
            <b/>
            <sz val="9"/>
            <color indexed="81"/>
            <rFont val="Tahoma"/>
            <family val="2"/>
          </rPr>
          <t>Adams, Merrin (L&amp;W, Lucas Heights):</t>
        </r>
        <r>
          <rPr>
            <sz val="9"/>
            <color indexed="81"/>
            <rFont val="Tahoma"/>
            <family val="2"/>
          </rPr>
          <t xml:space="preserve">
pH range for all treatments and control with an avg of 8.26</t>
        </r>
      </text>
    </comment>
    <comment ref="Q227" authorId="0" shapeId="0" xr:uid="{08D02908-AFC3-4E27-B934-723945210A22}">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27" authorId="0" shapeId="0" xr:uid="{DDF1EB8A-9BCA-4103-9079-452486558B31}">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28" authorId="0" shapeId="0" xr:uid="{95D4A6B7-5628-437E-86F5-F4F6AD265999}">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29" authorId="0" shapeId="0" xr:uid="{60CB96B5-B89A-4AA2-B094-82765CD8CC74}">
      <text>
        <r>
          <rPr>
            <b/>
            <sz val="9"/>
            <color indexed="81"/>
            <rFont val="Tahoma"/>
            <family val="2"/>
          </rPr>
          <t>Adams, Merrin (L&amp;W, Lucas Heights):</t>
        </r>
        <r>
          <rPr>
            <sz val="9"/>
            <color indexed="81"/>
            <rFont val="Tahoma"/>
            <family val="2"/>
          </rPr>
          <t xml:space="preserve">
This is a &lt; value
</t>
        </r>
      </text>
    </comment>
    <comment ref="S233" authorId="0" shapeId="0" xr:uid="{9DF2BED6-71B3-4684-8995-2F148FCD0392}">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34" authorId="0" shapeId="0" xr:uid="{32250F50-731A-4615-B2F5-0F041081F4EC}">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35" authorId="0" shapeId="0" xr:uid="{0620340B-62F9-41CC-8D6F-A7BD04E667CA}">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40" authorId="0" shapeId="0" xr:uid="{1C42B6B5-2054-42FD-890A-B0EFEAADFB92}">
      <text>
        <r>
          <rPr>
            <b/>
            <sz val="9"/>
            <color indexed="81"/>
            <rFont val="Tahoma"/>
            <family val="2"/>
          </rPr>
          <t>Adams, Merrin (L&amp;W, Lucas Heights):</t>
        </r>
        <r>
          <rPr>
            <sz val="9"/>
            <color indexed="81"/>
            <rFont val="Tahoma"/>
            <family val="2"/>
          </rPr>
          <t xml:space="preserve">
pH range for all treatments and control with an avg of 8.26</t>
        </r>
      </text>
    </comment>
    <comment ref="Q242" authorId="0" shapeId="0" xr:uid="{069BC662-2DE2-4E40-A133-FA4115165501}">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42" authorId="0" shapeId="0" xr:uid="{7DF87C99-F88A-416E-9F90-80DA372149E0}">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43" authorId="0" shapeId="0" xr:uid="{AECAECC7-C779-4AA6-8419-568079AE09B2}">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44" authorId="0" shapeId="0" xr:uid="{88AD90B4-E287-47C9-B451-2ED4E0299706}">
      <text>
        <r>
          <rPr>
            <b/>
            <sz val="9"/>
            <color indexed="81"/>
            <rFont val="Tahoma"/>
            <family val="2"/>
          </rPr>
          <t>Adams, Merrin (L&amp;W, Lucas Heights):</t>
        </r>
        <r>
          <rPr>
            <sz val="9"/>
            <color indexed="81"/>
            <rFont val="Tahoma"/>
            <family val="2"/>
          </rPr>
          <t xml:space="preserve">
This is a &lt; value
</t>
        </r>
      </text>
    </comment>
    <comment ref="S248" authorId="0" shapeId="0" xr:uid="{596A484A-C3F2-4B97-90A0-13B9A62E3B9A}">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49" authorId="0" shapeId="0" xr:uid="{C36C3860-BC6A-45B5-B7FC-0FEC7901D4D9}">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50" authorId="0" shapeId="0" xr:uid="{50917F71-ED62-49A5-B0B2-78AD6ABD4727}">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55" authorId="0" shapeId="0" xr:uid="{63B9421A-7A2F-4886-B0FB-263CC52BD71B}">
      <text>
        <r>
          <rPr>
            <b/>
            <sz val="9"/>
            <color indexed="81"/>
            <rFont val="Tahoma"/>
            <family val="2"/>
          </rPr>
          <t>Adams, Merrin (L&amp;W, Lucas Heights):</t>
        </r>
        <r>
          <rPr>
            <sz val="9"/>
            <color indexed="81"/>
            <rFont val="Tahoma"/>
            <family val="2"/>
          </rPr>
          <t xml:space="preserve">
pH range for all treatments and control with an avg of 8.26</t>
        </r>
      </text>
    </comment>
    <comment ref="Q257" authorId="0" shapeId="0" xr:uid="{CA392146-9725-4B20-B847-C7051783D44E}">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57" authorId="0" shapeId="0" xr:uid="{A3DDAC87-0C5B-4826-96D7-C652A020987C}">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58" authorId="0" shapeId="0" xr:uid="{15658D48-814C-42A8-8AE2-614153DF64A1}">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59" authorId="0" shapeId="0" xr:uid="{2D59DD8C-C66F-467D-84F2-57227BE8CE4A}">
      <text>
        <r>
          <rPr>
            <b/>
            <sz val="9"/>
            <color indexed="81"/>
            <rFont val="Tahoma"/>
            <family val="2"/>
          </rPr>
          <t>Adams, Merrin (L&amp;W, Lucas Heights):</t>
        </r>
        <r>
          <rPr>
            <sz val="9"/>
            <color indexed="81"/>
            <rFont val="Tahoma"/>
            <family val="2"/>
          </rPr>
          <t xml:space="preserve">
This is a &lt; value
</t>
        </r>
      </text>
    </comment>
    <comment ref="S263" authorId="0" shapeId="0" xr:uid="{EDB3C2CD-44EF-4B45-9CF9-37675C373578}">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64" authorId="0" shapeId="0" xr:uid="{DF4F0A16-487E-4946-97CB-B2E34947BD95}">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65" authorId="0" shapeId="0" xr:uid="{18CA266A-74A7-4C27-A4B8-A5199B89EDC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70" authorId="0" shapeId="0" xr:uid="{1F61CD1C-2B32-41A7-87AA-0D94B0536F6B}">
      <text>
        <r>
          <rPr>
            <b/>
            <sz val="9"/>
            <color indexed="81"/>
            <rFont val="Tahoma"/>
            <family val="2"/>
          </rPr>
          <t>Adams, Merrin (L&amp;W, Lucas Heights):</t>
        </r>
        <r>
          <rPr>
            <sz val="9"/>
            <color indexed="81"/>
            <rFont val="Tahoma"/>
            <family val="2"/>
          </rPr>
          <t xml:space="preserve">
pH range for all treatments and control with an avg of 8.26</t>
        </r>
      </text>
    </comment>
    <comment ref="Q272" authorId="0" shapeId="0" xr:uid="{E14C20B2-7350-4503-895D-A4773CC3F860}">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72" authorId="0" shapeId="0" xr:uid="{EF1B330F-B3D7-4FFA-AFE0-544C657040B8}">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73" authorId="0" shapeId="0" xr:uid="{E8A70E29-F94F-4F82-9B66-5975D574F474}">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74" authorId="0" shapeId="0" xr:uid="{C1258D9F-01F7-463C-B06A-1E3A016A45F1}">
      <text>
        <r>
          <rPr>
            <b/>
            <sz val="9"/>
            <color indexed="81"/>
            <rFont val="Tahoma"/>
            <family val="2"/>
          </rPr>
          <t>Adams, Merrin (L&amp;W, Lucas Heights):</t>
        </r>
        <r>
          <rPr>
            <sz val="9"/>
            <color indexed="81"/>
            <rFont val="Tahoma"/>
            <family val="2"/>
          </rPr>
          <t xml:space="preserve">
This is a &lt; value
</t>
        </r>
      </text>
    </comment>
    <comment ref="S278" authorId="0" shapeId="0" xr:uid="{FD3B7B02-0FAD-47F2-AE6D-2D2A5BD7928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79" authorId="0" shapeId="0" xr:uid="{C79BBC8C-D8B9-43D1-8119-EA6E73D3E594}">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80" authorId="0" shapeId="0" xr:uid="{FFEF6084-7708-4D9C-B38F-00992B6BA57E}">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85" authorId="0" shapeId="0" xr:uid="{471062D3-FD1A-44BB-B611-DC8B1C0FB25F}">
      <text>
        <r>
          <rPr>
            <b/>
            <sz val="9"/>
            <color indexed="81"/>
            <rFont val="Tahoma"/>
            <family val="2"/>
          </rPr>
          <t>Adams, Merrin (L&amp;W, Lucas Heights):</t>
        </r>
        <r>
          <rPr>
            <sz val="9"/>
            <color indexed="81"/>
            <rFont val="Tahoma"/>
            <family val="2"/>
          </rPr>
          <t xml:space="preserve">
pH range for all treatments and control with an avg of 8.26</t>
        </r>
      </text>
    </comment>
    <comment ref="Q287" authorId="0" shapeId="0" xr:uid="{4DC92B3C-AFE6-484F-BEF3-847D40F02C42}">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287" authorId="0" shapeId="0" xr:uid="{3F08BD2A-EB54-4E17-9FA5-71402998641B}">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288" authorId="0" shapeId="0" xr:uid="{84EA76CC-D787-4736-8557-DD5A0610A718}">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289" authorId="0" shapeId="0" xr:uid="{F4CFECD9-E278-4879-B7E6-86482445EDC8}">
      <text>
        <r>
          <rPr>
            <b/>
            <sz val="9"/>
            <color indexed="81"/>
            <rFont val="Tahoma"/>
            <family val="2"/>
          </rPr>
          <t>Adams, Merrin (L&amp;W, Lucas Heights):</t>
        </r>
        <r>
          <rPr>
            <sz val="9"/>
            <color indexed="81"/>
            <rFont val="Tahoma"/>
            <family val="2"/>
          </rPr>
          <t xml:space="preserve">
This is a &lt; value
</t>
        </r>
      </text>
    </comment>
    <comment ref="S293" authorId="0" shapeId="0" xr:uid="{F3153CBE-91DE-45F5-90B5-D770BA7E3E3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94" authorId="0" shapeId="0" xr:uid="{942F8ECF-2AEE-47F1-A033-687A0BA23960}">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295" authorId="0" shapeId="0" xr:uid="{2B7181A1-CE33-4C6C-BB0B-606096D76CE6}">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S300" authorId="0" shapeId="0" xr:uid="{E7A6ACD9-FEB2-45A2-B379-BF30719E02C5}">
      <text>
        <r>
          <rPr>
            <b/>
            <sz val="9"/>
            <color indexed="81"/>
            <rFont val="Tahoma"/>
            <family val="2"/>
          </rPr>
          <t>Adams, Merrin (L&amp;W, Lucas Heights):</t>
        </r>
        <r>
          <rPr>
            <sz val="9"/>
            <color indexed="81"/>
            <rFont val="Tahoma"/>
            <family val="2"/>
          </rPr>
          <t xml:space="preserve">
pH range for all treatments and control with an avg of 8.26</t>
        </r>
      </text>
    </comment>
    <comment ref="Q302" authorId="0" shapeId="0" xr:uid="{751FE314-66AE-4EA1-B95C-E3A5F94A6790}">
      <text>
        <r>
          <rPr>
            <b/>
            <sz val="9"/>
            <color indexed="81"/>
            <rFont val="Tahoma"/>
            <family val="2"/>
          </rPr>
          <t>Adams, Merrin (L&amp;W, Lucas Heights):</t>
        </r>
        <r>
          <rPr>
            <sz val="9"/>
            <color indexed="81"/>
            <rFont val="Tahoma"/>
            <family val="2"/>
          </rPr>
          <t xml:space="preserve">
average temperature range = 21.7-21.9, therefore assume an avg temperature of 21.8 for calculations. Full range of temperature across all treatments = 20.7-22.7</t>
        </r>
      </text>
    </comment>
    <comment ref="S302" authorId="0" shapeId="0" xr:uid="{4805DEFE-AAD3-42E5-826F-75D0538402B5}">
      <text>
        <r>
          <rPr>
            <b/>
            <sz val="9"/>
            <color indexed="81"/>
            <rFont val="Tahoma"/>
            <family val="2"/>
          </rPr>
          <t>Adams, Merrin (L&amp;W, Lucas Heights):</t>
        </r>
        <r>
          <rPr>
            <sz val="9"/>
            <color indexed="81"/>
            <rFont val="Tahoma"/>
            <family val="2"/>
          </rPr>
          <t xml:space="preserve">
range of avg pH for all treatments = 7.75-7.85, therefore assume an avg pH of 7.80 for calculations. Full range of pH values across all treatments = 7.60-8.09</t>
        </r>
      </text>
    </comment>
    <comment ref="S303" authorId="0" shapeId="0" xr:uid="{9639B683-75E8-4B0B-9478-D96AA1E33391}">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AY304" authorId="0" shapeId="0" xr:uid="{2E03B3AF-862E-4524-BEBE-015AAE179D03}">
      <text>
        <r>
          <rPr>
            <b/>
            <sz val="9"/>
            <color indexed="81"/>
            <rFont val="Tahoma"/>
            <family val="2"/>
          </rPr>
          <t>Adams, Merrin (L&amp;W, Lucas Heights):</t>
        </r>
        <r>
          <rPr>
            <sz val="9"/>
            <color indexed="81"/>
            <rFont val="Tahoma"/>
            <family val="2"/>
          </rPr>
          <t xml:space="preserve">
This is a &lt; value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Adams, Merrin (L&amp;W, Lucas Heights)</author>
  </authors>
  <commentList>
    <comment ref="D19" authorId="0" shapeId="0" xr:uid="{561FD3C0-82C8-470C-8E6A-BFB90D1755DB}">
      <text>
        <r>
          <rPr>
            <b/>
            <sz val="9"/>
            <color indexed="81"/>
            <rFont val="Tahoma"/>
            <family val="2"/>
          </rPr>
          <t>Adams, Merrin (L&amp;W, Lucas Heights):</t>
        </r>
        <r>
          <rPr>
            <sz val="9"/>
            <color indexed="81"/>
            <rFont val="Tahoma"/>
            <family val="2"/>
          </rPr>
          <t xml:space="preserve">
average pH (all test treatments) or pH of control/diluant water</t>
        </r>
      </text>
    </comment>
    <comment ref="J24" authorId="0" shapeId="0" xr:uid="{323FEE5F-5BB3-4ACA-8A44-52036B9F5554}">
      <text>
        <r>
          <rPr>
            <b/>
            <sz val="9"/>
            <color indexed="81"/>
            <rFont val="Tahoma"/>
            <family val="2"/>
          </rPr>
          <t>Adams, Merrin (L&amp;W, Lucas Heights):</t>
        </r>
        <r>
          <rPr>
            <sz val="9"/>
            <color indexed="81"/>
            <rFont val="Tahoma"/>
            <family val="2"/>
          </rPr>
          <t xml:space="preserve">
NOEC values were reported as total ammonia NH3 mM and converted to mg N/L by multiplying values by 14</t>
        </r>
      </text>
    </comment>
    <comment ref="G57" authorId="0" shapeId="0" xr:uid="{26976017-BF23-41E9-9EB7-59634CF56A37}">
      <text>
        <r>
          <rPr>
            <b/>
            <sz val="9"/>
            <color indexed="81"/>
            <rFont val="Tahoma"/>
            <family val="2"/>
          </rPr>
          <t>Adams, Merrin (L&amp;W, Lucas Heights):</t>
        </r>
        <r>
          <rPr>
            <sz val="9"/>
            <color indexed="81"/>
            <rFont val="Tahoma"/>
            <family val="2"/>
          </rPr>
          <t xml:space="preserve">
224-1 is an acute 48-LC50 and not reported in this table
</t>
        </r>
      </text>
    </comment>
    <comment ref="D58" authorId="0" shapeId="0" xr:uid="{7CAD3D0E-9A14-457A-B013-48F52484DE77}">
      <text>
        <r>
          <rPr>
            <b/>
            <sz val="9"/>
            <color indexed="81"/>
            <rFont val="Tahoma"/>
            <family val="2"/>
          </rPr>
          <t>Adams, Merrin (L&amp;W, Lucas Heights):</t>
        </r>
        <r>
          <rPr>
            <sz val="9"/>
            <color indexed="81"/>
            <rFont val="Tahoma"/>
            <family val="2"/>
          </rPr>
          <t xml:space="preserve">
assume an average of 7.9 based on a reported range of 7.3-8.4
</t>
        </r>
      </text>
    </comment>
    <comment ref="D71" authorId="0" shapeId="0" xr:uid="{A941698D-DC53-4CA0-93D9-B344AF7A7C98}">
      <text>
        <r>
          <rPr>
            <b/>
            <sz val="9"/>
            <color indexed="81"/>
            <rFont val="Tahoma"/>
            <family val="2"/>
          </rPr>
          <t>Adams, Merrin (L&amp;W, Lucas Heights):</t>
        </r>
        <r>
          <rPr>
            <sz val="9"/>
            <color indexed="81"/>
            <rFont val="Tahoma"/>
            <family val="2"/>
          </rPr>
          <t xml:space="preserve">
pH range = 7.02-7.61, a mean of 7.3 was used for the calculations</t>
        </r>
      </text>
    </comment>
    <comment ref="U71" authorId="0" shapeId="0" xr:uid="{FB545C8B-07E1-458F-B0B7-524DCE5E97FD}">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2" authorId="0" shapeId="0" xr:uid="{9BEF67D0-5CC9-449B-BF82-F5BF57E8F4D3}">
      <text>
        <r>
          <rPr>
            <b/>
            <sz val="9"/>
            <color indexed="81"/>
            <rFont val="Tahoma"/>
            <family val="2"/>
          </rPr>
          <t>Adams, Merrin (L&amp;W, Lucas Heights):</t>
        </r>
        <r>
          <rPr>
            <sz val="9"/>
            <color indexed="81"/>
            <rFont val="Tahoma"/>
            <family val="2"/>
          </rPr>
          <t xml:space="preserve">
pH range = 7.02-7.61, a mean of 7.3 was used for the calculations</t>
        </r>
      </text>
    </comment>
    <comment ref="U72" authorId="0" shapeId="0" xr:uid="{C9EEB937-B8C9-4F5E-AA1F-30726C700BEF}">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3" authorId="0" shapeId="0" xr:uid="{CFEEB097-36EB-4942-A774-4A39202335D7}">
      <text>
        <r>
          <rPr>
            <b/>
            <sz val="9"/>
            <color indexed="81"/>
            <rFont val="Tahoma"/>
            <family val="2"/>
          </rPr>
          <t>Adams, Merrin (L&amp;W, Lucas Heights):</t>
        </r>
        <r>
          <rPr>
            <sz val="9"/>
            <color indexed="81"/>
            <rFont val="Tahoma"/>
            <family val="2"/>
          </rPr>
          <t xml:space="preserve">
pH range = 7.02-7.61, a mean of 7.3 was used for the calculations</t>
        </r>
      </text>
    </comment>
    <comment ref="U73" authorId="0" shapeId="0" xr:uid="{BA3D7069-B404-4D16-8ACF-A1AA9354D541}">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4" authorId="0" shapeId="0" xr:uid="{6DC7EC5E-F12C-4440-B750-5CDE49195144}">
      <text>
        <r>
          <rPr>
            <b/>
            <sz val="9"/>
            <color indexed="81"/>
            <rFont val="Tahoma"/>
            <family val="2"/>
          </rPr>
          <t>Adams, Merrin (L&amp;W, Lucas Heights):</t>
        </r>
        <r>
          <rPr>
            <sz val="9"/>
            <color indexed="81"/>
            <rFont val="Tahoma"/>
            <family val="2"/>
          </rPr>
          <t xml:space="preserve">
pH range = 7.02-7.61, a mean of 7.3 was used for the calculations</t>
        </r>
      </text>
    </comment>
    <comment ref="U74" authorId="0" shapeId="0" xr:uid="{48C73392-5570-4F83-81D7-4E586D1127B0}">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5" authorId="0" shapeId="0" xr:uid="{CC45334C-479D-44D0-9C14-6F8CBE530C19}">
      <text>
        <r>
          <rPr>
            <b/>
            <sz val="9"/>
            <color indexed="81"/>
            <rFont val="Tahoma"/>
            <family val="2"/>
          </rPr>
          <t>Adams, Merrin (L&amp;W, Lucas Heights):</t>
        </r>
        <r>
          <rPr>
            <sz val="9"/>
            <color indexed="81"/>
            <rFont val="Tahoma"/>
            <family val="2"/>
          </rPr>
          <t xml:space="preserve">
pH range = 7.02-7.61, a mean of 7.3 was used for the calculations</t>
        </r>
      </text>
    </comment>
    <comment ref="U75" authorId="0" shapeId="0" xr:uid="{7B9B83D4-C660-400B-858F-EB66BB16ABBE}">
      <text>
        <r>
          <rPr>
            <b/>
            <sz val="9"/>
            <color indexed="81"/>
            <rFont val="Tahoma"/>
            <family val="2"/>
          </rPr>
          <t>Adams, Merrin (L&amp;W, Lucas Heights):</t>
        </r>
        <r>
          <rPr>
            <sz val="9"/>
            <color indexed="81"/>
            <rFont val="Tahoma"/>
            <family val="2"/>
          </rPr>
          <t xml:space="preserve">
</t>
        </r>
      </text>
    </comment>
    <comment ref="D76" authorId="0" shapeId="0" xr:uid="{D94F7BDE-BF17-41E8-9386-6F67CD013073}">
      <text>
        <r>
          <rPr>
            <b/>
            <sz val="9"/>
            <color indexed="81"/>
            <rFont val="Tahoma"/>
            <family val="2"/>
          </rPr>
          <t>Adams, Merrin (L&amp;W, Lucas Heights):</t>
        </r>
        <r>
          <rPr>
            <sz val="9"/>
            <color indexed="81"/>
            <rFont val="Tahoma"/>
            <family val="2"/>
          </rPr>
          <t xml:space="preserve">
pH range = 7.02-7.61, a mean of 7.3 was used for the calculations</t>
        </r>
      </text>
    </comment>
    <comment ref="U76" authorId="0" shapeId="0" xr:uid="{A1ACE3C8-0AC9-49E3-9C53-45EB280B2257}">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7" authorId="0" shapeId="0" xr:uid="{04E89EC2-E202-40A7-91F1-586E4526E54F}">
      <text>
        <r>
          <rPr>
            <b/>
            <sz val="9"/>
            <color indexed="81"/>
            <rFont val="Tahoma"/>
            <family val="2"/>
          </rPr>
          <t>Adams, Merrin (L&amp;W, Lucas Heights):</t>
        </r>
        <r>
          <rPr>
            <sz val="9"/>
            <color indexed="81"/>
            <rFont val="Tahoma"/>
            <family val="2"/>
          </rPr>
          <t xml:space="preserve">
pH range = 7.02-7.61, a mean of 7.3 was used for the calculations</t>
        </r>
      </text>
    </comment>
    <comment ref="U77" authorId="0" shapeId="0" xr:uid="{0FFA2157-4590-4397-83F1-E857C4DB4EA8}">
      <text>
        <r>
          <rPr>
            <b/>
            <sz val="9"/>
            <color indexed="81"/>
            <rFont val="Tahoma"/>
            <family val="2"/>
          </rPr>
          <t>Adams, Merrin (L&amp;W, Lucas Heights):</t>
        </r>
        <r>
          <rPr>
            <sz val="9"/>
            <color indexed="81"/>
            <rFont val="Tahoma"/>
            <family val="2"/>
          </rPr>
          <t xml:space="preserve">
note that the calculated and reported un-ionised ammonia concentrations differ by a factor of 5 (all other toxicity values differ by no more than a factor of ~2</t>
        </r>
      </text>
    </comment>
    <comment ref="D78" authorId="0" shapeId="0" xr:uid="{98E35198-5FF0-4F02-B9B2-2AA07454A931}">
      <text>
        <r>
          <rPr>
            <b/>
            <sz val="9"/>
            <color indexed="81"/>
            <rFont val="Tahoma"/>
            <family val="2"/>
          </rPr>
          <t>Adams, Merrin (L&amp;W, Lucas Heights):</t>
        </r>
        <r>
          <rPr>
            <sz val="9"/>
            <color indexed="81"/>
            <rFont val="Tahoma"/>
            <family val="2"/>
          </rPr>
          <t xml:space="preserve">
pH range = 7.0-7.6, a mean of 7.3 was used for the calculations</t>
        </r>
      </text>
    </comment>
    <comment ref="D79" authorId="0" shapeId="0" xr:uid="{A9ED71EB-5A8A-49A1-993E-B26C2F34A530}">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0" authorId="0" shapeId="0" xr:uid="{13DF1BAD-DAC7-4B56-B897-2B84F338ED5B}">
      <text>
        <r>
          <rPr>
            <b/>
            <sz val="9"/>
            <color indexed="81"/>
            <rFont val="Tahoma"/>
            <family val="2"/>
          </rPr>
          <t>Adams, Merrin (L&amp;W, Lucas Heights):</t>
        </r>
        <r>
          <rPr>
            <sz val="9"/>
            <color indexed="81"/>
            <rFont val="Tahoma"/>
            <family val="2"/>
          </rPr>
          <t xml:space="preserve">
pH range = 7.0-7.6, a mean of 7.3 was used for the calculations</t>
        </r>
      </text>
    </comment>
    <comment ref="D81" authorId="0" shapeId="0" xr:uid="{DECAF3FD-BD08-4759-A9A0-2453C62CC30B}">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2" authorId="0" shapeId="0" xr:uid="{574C4AA0-CFFB-4901-B505-BA06AE22CE99}">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3" authorId="0" shapeId="0" xr:uid="{BDD6C1E6-BD43-4BB4-8052-55B72E150342}">
      <text>
        <r>
          <rPr>
            <b/>
            <sz val="9"/>
            <color indexed="81"/>
            <rFont val="Tahoma"/>
            <family val="2"/>
          </rPr>
          <t>Adams, Merrin (L&amp;W, Lucas Heights):</t>
        </r>
        <r>
          <rPr>
            <sz val="9"/>
            <color indexed="81"/>
            <rFont val="Tahoma"/>
            <family val="2"/>
          </rPr>
          <t xml:space="preserve">
pH range = 7.0-7.6, a mean of 7.3 was used for the calculations</t>
        </r>
      </text>
    </comment>
    <comment ref="D84" authorId="0" shapeId="0" xr:uid="{46DA8F7A-DF16-429E-875D-B882C7E3406A}">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5" authorId="0" shapeId="0" xr:uid="{B99FC23B-CC3D-447A-9899-7FC119C92273}">
      <text>
        <r>
          <rPr>
            <b/>
            <sz val="9"/>
            <color indexed="81"/>
            <rFont val="Tahoma"/>
            <family val="2"/>
          </rPr>
          <t>Adams, Merrin (L&amp;W, Lucas Heights):</t>
        </r>
        <r>
          <rPr>
            <sz val="9"/>
            <color indexed="81"/>
            <rFont val="Tahoma"/>
            <family val="2"/>
          </rPr>
          <t xml:space="preserve">
pH range = 7.0-7.6, a mean of 7.3 was used for the calculations</t>
        </r>
      </text>
    </comment>
    <comment ref="D86" authorId="0" shapeId="0" xr:uid="{10F11CED-BEDC-488C-A169-0119AB384024}">
      <text>
        <r>
          <rPr>
            <b/>
            <sz val="9"/>
            <color indexed="81"/>
            <rFont val="Tahoma"/>
            <family val="2"/>
          </rPr>
          <t>Adams, Merrin (L&amp;W, Lucas Heights):</t>
        </r>
        <r>
          <rPr>
            <sz val="9"/>
            <color indexed="81"/>
            <rFont val="Tahoma"/>
            <family val="2"/>
          </rPr>
          <t xml:space="preserve">
pH range = 7.0-7.6, a mean of 7.3 was used for the calculations</t>
        </r>
      </text>
    </comment>
    <comment ref="D87" authorId="0" shapeId="0" xr:uid="{AB11FD2F-8EB8-4C23-BE90-09A153B817E0}">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8" authorId="0" shapeId="0" xr:uid="{A37C693A-F091-4F5C-AF88-A246F91647FC}">
      <text>
        <r>
          <rPr>
            <b/>
            <sz val="9"/>
            <color indexed="81"/>
            <rFont val="Tahoma"/>
            <family val="2"/>
          </rPr>
          <t>Adams, Merrin (L&amp;W, Lucas Heights):</t>
        </r>
        <r>
          <rPr>
            <sz val="9"/>
            <color indexed="81"/>
            <rFont val="Tahoma"/>
            <family val="2"/>
          </rPr>
          <t xml:space="preserve">
pH range of 6.7-7.6, therefore an avg of 7.2 was used for the calculations</t>
        </r>
      </text>
    </comment>
    <comment ref="D89" authorId="0" shapeId="0" xr:uid="{897C25DB-B505-4CBD-A533-0D946CD0CCEF}">
      <text>
        <r>
          <rPr>
            <b/>
            <sz val="9"/>
            <color indexed="81"/>
            <rFont val="Tahoma"/>
            <family val="2"/>
          </rPr>
          <t>Adams, Merrin (L&amp;W, Lucas Heights):</t>
        </r>
        <r>
          <rPr>
            <sz val="9"/>
            <color indexed="81"/>
            <rFont val="Tahoma"/>
            <family val="2"/>
          </rPr>
          <t xml:space="preserve"> 
Mean pH of NOEC treatment only. Range of pH for NOEC treatment = 8.08-8.70. Mean pH of control and all three treatments tested 
8.28-8.39</t>
        </r>
      </text>
    </comment>
    <comment ref="D97" authorId="0" shapeId="0" xr:uid="{D6D677CB-BA6C-465F-A6D6-57EB4A701BDC}">
      <text>
        <r>
          <rPr>
            <b/>
            <sz val="9"/>
            <color indexed="81"/>
            <rFont val="Tahoma"/>
            <family val="2"/>
          </rPr>
          <t>Adams, Merrin (L&amp;W, Lucas Heights):</t>
        </r>
        <r>
          <rPr>
            <sz val="9"/>
            <color indexed="81"/>
            <rFont val="Tahoma"/>
            <family val="2"/>
          </rPr>
          <t xml:space="preserve">
pH is outside recommended usable limits</t>
        </r>
      </text>
    </comment>
    <comment ref="A125" authorId="0" shapeId="0" xr:uid="{1A9420B1-20B5-4C53-81CF-C8AA549CB48E}">
      <text>
        <r>
          <rPr>
            <b/>
            <sz val="9"/>
            <color indexed="81"/>
            <rFont val="Tahoma"/>
            <family val="2"/>
          </rPr>
          <t>Adams, Merrin (L&amp;W, Lucas Heights):</t>
        </r>
        <r>
          <rPr>
            <sz val="9"/>
            <color indexed="81"/>
            <rFont val="Tahoma"/>
            <family val="2"/>
          </rPr>
          <t xml:space="preserve">
Two test runs were carried out at 10 and 12 degrees C. Hence, an average of 11 degrees C is used here. </t>
        </r>
      </text>
    </comment>
    <comment ref="D129" authorId="0" shapeId="0" xr:uid="{64E373B7-E852-4D73-BDAF-2AE90B29FEDA}">
      <text>
        <r>
          <rPr>
            <b/>
            <sz val="9"/>
            <color indexed="81"/>
            <rFont val="Tahoma"/>
            <family val="2"/>
          </rPr>
          <t>Adams, Merrin (L&amp;W, Lucas Heights):</t>
        </r>
        <r>
          <rPr>
            <sz val="9"/>
            <color indexed="81"/>
            <rFont val="Tahoma"/>
            <family val="2"/>
          </rPr>
          <t xml:space="preserve">
pH range reported 8.30-8.44, therefore assume pH of 8.37</t>
        </r>
      </text>
    </comment>
    <comment ref="I129" authorId="0" shapeId="0" xr:uid="{FD390B0E-23F5-4FFF-A563-6A2A7DD8B91C}">
      <text>
        <r>
          <rPr>
            <b/>
            <sz val="9"/>
            <color indexed="81"/>
            <rFont val="Tahoma"/>
            <family val="2"/>
          </rPr>
          <t>Adams, Merrin (L&amp;W, Lucas Heights):</t>
        </r>
        <r>
          <rPr>
            <sz val="9"/>
            <color indexed="81"/>
            <rFont val="Tahoma"/>
            <family val="2"/>
          </rPr>
          <t xml:space="preserve">
Equivalent NOEC (LSD method) significance level not stated, but could be p=0.01 based on 239-2 and 239-3 values
</t>
        </r>
      </text>
    </comment>
    <comment ref="I130" authorId="0" shapeId="0" xr:uid="{0BE247C4-0857-4687-BFF8-19BD33B22EB8}">
      <text>
        <r>
          <rPr>
            <b/>
            <sz val="9"/>
            <color indexed="81"/>
            <rFont val="Tahoma"/>
            <family val="2"/>
          </rPr>
          <t>Adams, Merrin (L&amp;W, Lucas Heights):</t>
        </r>
        <r>
          <rPr>
            <sz val="9"/>
            <color indexed="81"/>
            <rFont val="Tahoma"/>
            <family val="2"/>
          </rPr>
          <t xml:space="preserve">
Equivalent NOEC (LSD method) significance level not stated, but could be p≤0.01</t>
        </r>
      </text>
    </comment>
    <comment ref="I131" authorId="0" shapeId="0" xr:uid="{F288415B-F06B-4FB7-ADDF-FFB5EA50FE4E}">
      <text>
        <r>
          <rPr>
            <b/>
            <sz val="9"/>
            <color indexed="81"/>
            <rFont val="Tahoma"/>
            <family val="2"/>
          </rPr>
          <t>Adams, Merrin (L&amp;W, Lucas Heights):</t>
        </r>
        <r>
          <rPr>
            <sz val="9"/>
            <color indexed="81"/>
            <rFont val="Tahoma"/>
            <family val="2"/>
          </rPr>
          <t xml:space="preserve">
Equivalent NOEC (LSD method) significance level not stated, but could be p≤0.01</t>
        </r>
      </text>
    </comment>
    <comment ref="A132" authorId="0" shapeId="0" xr:uid="{4B5AB89C-62F0-4E09-BAB9-AAC2464CF6E3}">
      <text>
        <r>
          <rPr>
            <b/>
            <sz val="9"/>
            <color indexed="81"/>
            <rFont val="Tahoma"/>
            <family val="2"/>
          </rPr>
          <t>Adams, Merrin (L&amp;W, Lucas Heights):</t>
        </r>
        <r>
          <rPr>
            <sz val="9"/>
            <color indexed="81"/>
            <rFont val="Tahoma"/>
            <family val="2"/>
          </rPr>
          <t xml:space="preserve">
temperature range = 19.5 to 20, therefore for calculations assume avg of 19.8 (to 3 sign figs
</t>
        </r>
      </text>
    </comment>
    <comment ref="D132" authorId="0" shapeId="0" xr:uid="{6166B56A-4FD8-4A78-8B93-F63AEC830963}">
      <text>
        <r>
          <rPr>
            <b/>
            <sz val="9"/>
            <color indexed="81"/>
            <rFont val="Tahoma"/>
            <family val="2"/>
          </rPr>
          <t>Adams, Merrin (L&amp;W, Lucas Heights):</t>
        </r>
        <r>
          <rPr>
            <sz val="9"/>
            <color indexed="81"/>
            <rFont val="Tahoma"/>
            <family val="2"/>
          </rPr>
          <t xml:space="preserve">
pH range reported in the text: for calcualtions assume an avg pH of 8.45
</t>
        </r>
      </text>
    </comment>
    <comment ref="D137" authorId="0" shapeId="0" xr:uid="{4B418880-5DAF-45E8-A0DD-F466236CAC82}">
      <text>
        <r>
          <rPr>
            <b/>
            <sz val="9"/>
            <color indexed="81"/>
            <rFont val="Tahoma"/>
            <family val="2"/>
          </rPr>
          <t>Adams, Merrin (L&amp;W, Lucas Heights):</t>
        </r>
        <r>
          <rPr>
            <sz val="9"/>
            <color indexed="81"/>
            <rFont val="Tahoma"/>
            <family val="2"/>
          </rPr>
          <t xml:space="preserve">
Median pH range for all treatments and control = 7.86-7.09, median pH for NOEC treatment = 7.64 (used for calculations). Note that range of all pH treatments ranged from 5.76-8.24</t>
        </r>
      </text>
    </comment>
    <comment ref="D138" authorId="0" shapeId="0" xr:uid="{052627BC-C63B-4968-BCE4-7085CE5B3C42}">
      <text>
        <r>
          <rPr>
            <b/>
            <sz val="9"/>
            <color indexed="81"/>
            <rFont val="Tahoma"/>
            <family val="2"/>
          </rPr>
          <t>Adams, Merrin (L&amp;W, Lucas Heights):</t>
        </r>
        <r>
          <rPr>
            <sz val="9"/>
            <color indexed="81"/>
            <rFont val="Tahoma"/>
            <family val="2"/>
          </rPr>
          <t xml:space="preserve">
Median pH range for all treatments and control = 7.86-7.09, therefore an average of 7.44 used for calculations. Note that range of all pH treatments ranged from 5.76-8.24</t>
        </r>
      </text>
    </comment>
    <comment ref="D139" authorId="0" shapeId="0" xr:uid="{32BA3C1E-E697-4BF7-B1BF-4B69CDA64F91}">
      <text>
        <r>
          <rPr>
            <b/>
            <sz val="9"/>
            <color indexed="81"/>
            <rFont val="Tahoma"/>
            <family val="2"/>
          </rPr>
          <t>Adams, Merrin (L&amp;W, Lucas Heights):</t>
        </r>
        <r>
          <rPr>
            <sz val="9"/>
            <color indexed="81"/>
            <rFont val="Tahoma"/>
            <family val="2"/>
          </rPr>
          <t xml:space="preserve">
Median pH range for all treatments and control = 7.22-7.72, therefore an average of 7.47 used for calculations. Note that range of all pH treatments ranged from 5.76-7.95</t>
        </r>
      </text>
    </comment>
    <comment ref="D140" authorId="0" shapeId="0" xr:uid="{92E3F2EC-7188-4E3A-880C-D50770006813}">
      <text>
        <r>
          <rPr>
            <b/>
            <sz val="9"/>
            <color indexed="81"/>
            <rFont val="Tahoma"/>
            <family val="2"/>
          </rPr>
          <t>Adams, Merrin (L&amp;W, Lucas Heights):</t>
        </r>
        <r>
          <rPr>
            <sz val="9"/>
            <color indexed="81"/>
            <rFont val="Tahoma"/>
            <family val="2"/>
          </rPr>
          <t xml:space="preserve">
Median pH range for all treatments and control = 7.86-7.09, median pH for NOEC treatment = 7.64 (used for calculations). Note that range of all pH treatments ranged from 5.76-8.24</t>
        </r>
      </text>
    </comment>
    <comment ref="D141" authorId="0" shapeId="0" xr:uid="{9FB1C453-5977-4E3F-8967-B9DD462D6B60}">
      <text>
        <r>
          <rPr>
            <b/>
            <sz val="9"/>
            <color indexed="81"/>
            <rFont val="Tahoma"/>
            <family val="2"/>
          </rPr>
          <t>Adams, Merrin (L&amp;W, Lucas Heights):</t>
        </r>
        <r>
          <rPr>
            <sz val="9"/>
            <color indexed="81"/>
            <rFont val="Tahoma"/>
            <family val="2"/>
          </rPr>
          <t xml:space="preserve">
Median pH range for all treatments and control = 7.86-7.09, therefore an average of 7.44 used for calculations. Note that range of all pH treatments ranged from 5.76-8.24</t>
        </r>
      </text>
    </comment>
    <comment ref="D142" authorId="0" shapeId="0" xr:uid="{36F379F6-6CD7-4C1E-9975-B0017BC0B892}">
      <text>
        <r>
          <rPr>
            <b/>
            <sz val="9"/>
            <color indexed="81"/>
            <rFont val="Tahoma"/>
            <family val="2"/>
          </rPr>
          <t>Adams, Merrin (L&amp;W, Lucas Heights):</t>
        </r>
        <r>
          <rPr>
            <sz val="9"/>
            <color indexed="81"/>
            <rFont val="Tahoma"/>
            <family val="2"/>
          </rPr>
          <t xml:space="preserve">
Median pH range for all treatments and control = 7.86-7.09, median pH for NOEC treatment = 7.73 (used for calculations). Note that range of all pH treatments ranged from 5.76-8.24</t>
        </r>
      </text>
    </comment>
    <comment ref="D143" authorId="0" shapeId="0" xr:uid="{5DD8F895-C0A1-4303-AF9D-AC529106D5AC}">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D144" authorId="0" shapeId="0" xr:uid="{5D14533A-A563-4D95-A82B-325DD7629998}">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D145" authorId="0" shapeId="0" xr:uid="{8BCFD677-8166-479E-B4FC-B2E6EEF15AC8}">
      <text>
        <r>
          <rPr>
            <b/>
            <sz val="9"/>
            <color indexed="81"/>
            <rFont val="Tahoma"/>
            <family val="2"/>
          </rPr>
          <t>Adams, Merrin (L&amp;W, Lucas Heights):</t>
        </r>
        <r>
          <rPr>
            <sz val="9"/>
            <color indexed="81"/>
            <rFont val="Tahoma"/>
            <family val="2"/>
          </rPr>
          <t xml:space="preserve">
pH range is across all treatments including control, avg pH of 8.09 used for calculations</t>
        </r>
      </text>
    </comment>
    <comment ref="A150" authorId="0" shapeId="0" xr:uid="{C76B03EA-5B2D-4097-B1DF-ADCAFE843E2E}">
      <text>
        <r>
          <rPr>
            <b/>
            <sz val="9"/>
            <color indexed="81"/>
            <rFont val="Tahoma"/>
            <family val="2"/>
          </rPr>
          <t>Adams, Merrin (L&amp;W, Lucas Heights):</t>
        </r>
        <r>
          <rPr>
            <sz val="9"/>
            <color indexed="81"/>
            <rFont val="Tahoma"/>
            <family val="2"/>
          </rPr>
          <t xml:space="preserve">
Full temperature range = 22.7-26.7 with median values used for calculations (25.4)
</t>
        </r>
      </text>
    </comment>
    <comment ref="D150" authorId="0" shapeId="0" xr:uid="{3D94EDDC-347E-413B-ACDF-8CDB132876EA}">
      <text>
        <r>
          <rPr>
            <b/>
            <sz val="9"/>
            <color indexed="81"/>
            <rFont val="Tahoma"/>
            <family val="2"/>
          </rPr>
          <t>Adams, Merrin (L&amp;W, Lucas Heights):</t>
        </r>
        <r>
          <rPr>
            <sz val="9"/>
            <color indexed="81"/>
            <rFont val="Tahoma"/>
            <family val="2"/>
          </rPr>
          <t xml:space="preserve">
Full pH range = 7.62-8.22 with median values used for calculations (7.90)
</t>
        </r>
      </text>
    </comment>
    <comment ref="A151" authorId="0" shapeId="0" xr:uid="{DD55B68A-2A00-4D42-BC83-F2A09915BCC5}">
      <text>
        <r>
          <rPr>
            <b/>
            <sz val="9"/>
            <color indexed="81"/>
            <rFont val="Tahoma"/>
            <family val="2"/>
          </rPr>
          <t>Adams, Merrin (L&amp;W, Lucas Heights):</t>
        </r>
        <r>
          <rPr>
            <sz val="9"/>
            <color indexed="81"/>
            <rFont val="Tahoma"/>
            <family val="2"/>
          </rPr>
          <t xml:space="preserve">
Full temperature range = 23.5-28.0 with median values used for calculations (27.3)
</t>
        </r>
      </text>
    </comment>
    <comment ref="D151" authorId="0" shapeId="0" xr:uid="{253C8E2F-B069-46E2-A8A2-FF71960DC711}">
      <text>
        <r>
          <rPr>
            <b/>
            <sz val="9"/>
            <color indexed="81"/>
            <rFont val="Tahoma"/>
            <family val="2"/>
          </rPr>
          <t>Adams, Merrin (L&amp;W, Lucas Heights):</t>
        </r>
        <r>
          <rPr>
            <sz val="9"/>
            <color indexed="81"/>
            <rFont val="Tahoma"/>
            <family val="2"/>
          </rPr>
          <t xml:space="preserve">
Full pH range = 7.48-8.14 with median values used for calculations (7.77)
</t>
        </r>
      </text>
    </comment>
    <comment ref="A152" authorId="0" shapeId="0" xr:uid="{5560CD70-2EAA-4295-8E98-76B05F82C263}">
      <text>
        <r>
          <rPr>
            <b/>
            <sz val="9"/>
            <color indexed="81"/>
            <rFont val="Tahoma"/>
            <family val="2"/>
          </rPr>
          <t>Adams, Merrin (L&amp;W, Lucas Heights):</t>
        </r>
        <r>
          <rPr>
            <sz val="9"/>
            <color indexed="81"/>
            <rFont val="Tahoma"/>
            <family val="2"/>
          </rPr>
          <t xml:space="preserve">
temperature range = 23.8-24.4; assume avg of 24.1
</t>
        </r>
      </text>
    </comment>
    <comment ref="D152" authorId="0" shapeId="0" xr:uid="{3C0962C2-E3AC-4B85-91F4-52CC99B58731}">
      <text>
        <r>
          <rPr>
            <b/>
            <sz val="9"/>
            <color indexed="81"/>
            <rFont val="Tahoma"/>
            <family val="2"/>
          </rPr>
          <t>Adams, Merrin (L&amp;W, Lucas Heights):</t>
        </r>
        <r>
          <rPr>
            <sz val="9"/>
            <color indexed="81"/>
            <rFont val="Tahoma"/>
            <family val="2"/>
          </rPr>
          <t xml:space="preserve">
pH range provided in detail (7.95-8.05) for each treatment; assume avg pH of 8.0</t>
        </r>
      </text>
    </comment>
    <comment ref="A153" authorId="0" shapeId="0" xr:uid="{3D0C03C1-3290-4818-A4E7-C816CBECE74F}">
      <text>
        <r>
          <rPr>
            <b/>
            <sz val="9"/>
            <color indexed="81"/>
            <rFont val="Tahoma"/>
            <family val="2"/>
          </rPr>
          <t>Adams, Merrin (L&amp;W, Lucas Heights):</t>
        </r>
        <r>
          <rPr>
            <sz val="9"/>
            <color indexed="81"/>
            <rFont val="Tahoma"/>
            <family val="2"/>
          </rPr>
          <t xml:space="preserve">
temperature range = 23.8-24.4; assume avg of 24.1
</t>
        </r>
      </text>
    </comment>
    <comment ref="D153" authorId="0" shapeId="0" xr:uid="{F8BFC4C9-59E0-4A61-B754-AEB4E39D75A1}">
      <text>
        <r>
          <rPr>
            <b/>
            <sz val="9"/>
            <color indexed="81"/>
            <rFont val="Tahoma"/>
            <family val="2"/>
          </rPr>
          <t>Adams, Merrin (L&amp;W, Lucas Heights):</t>
        </r>
        <r>
          <rPr>
            <sz val="9"/>
            <color indexed="81"/>
            <rFont val="Tahoma"/>
            <family val="2"/>
          </rPr>
          <t xml:space="preserve">
pH range provided in detail (7.95-8.05) for each treatment; assume avg pH of 8.0</t>
        </r>
      </text>
    </comment>
    <comment ref="A154" authorId="0" shapeId="0" xr:uid="{4C513234-15B5-4A0E-A664-49148F4856FC}">
      <text>
        <r>
          <rPr>
            <b/>
            <sz val="9"/>
            <color indexed="81"/>
            <rFont val="Tahoma"/>
            <family val="2"/>
          </rPr>
          <t>Adams, Merrin (L&amp;W, Lucas Heights):</t>
        </r>
        <r>
          <rPr>
            <sz val="9"/>
            <color indexed="81"/>
            <rFont val="Tahoma"/>
            <family val="2"/>
          </rPr>
          <t xml:space="preserve">
temperature range = 23.8-24.4; assume avg of 24.1
</t>
        </r>
      </text>
    </comment>
    <comment ref="D154" authorId="0" shapeId="0" xr:uid="{549F50D4-78C0-41DA-B517-0B9048B82685}">
      <text>
        <r>
          <rPr>
            <b/>
            <sz val="9"/>
            <color indexed="81"/>
            <rFont val="Tahoma"/>
            <family val="2"/>
          </rPr>
          <t>Adams, Merrin (L&amp;W, Lucas Heights):</t>
        </r>
        <r>
          <rPr>
            <sz val="9"/>
            <color indexed="81"/>
            <rFont val="Tahoma"/>
            <family val="2"/>
          </rPr>
          <t xml:space="preserve">
pH range provided in detail (7.95-8.05) for each treatment; assume avg pH of 8.0</t>
        </r>
      </text>
    </comment>
    <comment ref="D168" authorId="0" shapeId="0" xr:uid="{193934C0-725D-4244-BEAB-6D9322622609}">
      <text>
        <r>
          <rPr>
            <b/>
            <sz val="9"/>
            <color indexed="81"/>
            <rFont val="Tahoma"/>
            <family val="2"/>
          </rPr>
          <t>Adams, Merrin (L&amp;W, Lucas Heights):</t>
        </r>
        <r>
          <rPr>
            <sz val="9"/>
            <color indexed="81"/>
            <rFont val="Tahoma"/>
            <family val="2"/>
          </rPr>
          <t xml:space="preserve">
pH range for all treatments = 8.24-8.27 with an avg of 8.26</t>
        </r>
      </text>
    </comment>
    <comment ref="D169" authorId="0" shapeId="0" xr:uid="{6C524323-2F33-47BF-B8EB-AAD46662C367}">
      <text>
        <r>
          <rPr>
            <b/>
            <sz val="9"/>
            <color indexed="81"/>
            <rFont val="Tahoma"/>
            <family val="2"/>
          </rPr>
          <t>Adams, Merrin (L&amp;W, Lucas Heights):</t>
        </r>
        <r>
          <rPr>
            <sz val="9"/>
            <color indexed="81"/>
            <rFont val="Tahoma"/>
            <family val="2"/>
          </rPr>
          <t xml:space="preserve">
pH range for all treatments = 8.24-8.27 with an avg of 8.26</t>
        </r>
      </text>
    </comment>
    <comment ref="D170" authorId="0" shapeId="0" xr:uid="{CE691E4A-077D-4A0A-B68E-F151C100E0B5}">
      <text>
        <r>
          <rPr>
            <b/>
            <sz val="9"/>
            <color indexed="81"/>
            <rFont val="Tahoma"/>
            <family val="2"/>
          </rPr>
          <t>Adams, Merrin (L&amp;W, Lucas Heights):</t>
        </r>
        <r>
          <rPr>
            <sz val="9"/>
            <color indexed="81"/>
            <rFont val="Tahoma"/>
            <family val="2"/>
          </rPr>
          <t xml:space="preserve">
pH range for all treatments = 8.24-8.27 with an avg of 8.26</t>
        </r>
      </text>
    </comment>
    <comment ref="A181" authorId="0" shapeId="0" xr:uid="{A5A23844-8665-474B-802B-EDCE71E7ECFF}">
      <text>
        <r>
          <rPr>
            <b/>
            <sz val="9"/>
            <color indexed="81"/>
            <rFont val="Tahoma"/>
            <family val="2"/>
          </rPr>
          <t>Adams, Merrin (L&amp;W, Lucas Heights):</t>
        </r>
        <r>
          <rPr>
            <sz val="9"/>
            <color indexed="81"/>
            <rFont val="Tahoma"/>
            <family val="2"/>
          </rPr>
          <t xml:space="preserve">
average temperature range = 21.7-21.9, therefore assume an avg temperature of 21.8. Full range of temperature across all treatments = 20.7-22.7</t>
        </r>
      </text>
    </comment>
    <comment ref="D181" authorId="0" shapeId="0" xr:uid="{FE739AD9-5DA8-4EF7-B20A-8603FD769246}">
      <text>
        <r>
          <rPr>
            <b/>
            <sz val="9"/>
            <color indexed="81"/>
            <rFont val="Tahoma"/>
            <family val="2"/>
          </rPr>
          <t>Adams, Merrin (L&amp;W, Lucas Heights):</t>
        </r>
        <r>
          <rPr>
            <sz val="9"/>
            <color indexed="81"/>
            <rFont val="Tahoma"/>
            <family val="2"/>
          </rPr>
          <t xml:space="preserve">
range of avg pH for all treatments = 7.75-7.85, therefore assume an avg pH of 7.80. Full range of pH values across all treatments = 7.60-8.09</t>
        </r>
      </text>
    </comment>
    <comment ref="A182" authorId="0" shapeId="0" xr:uid="{38652DFC-FECE-4901-99F8-6F67B3BD8F58}">
      <text>
        <r>
          <rPr>
            <b/>
            <sz val="9"/>
            <color indexed="81"/>
            <rFont val="Tahoma"/>
            <family val="2"/>
          </rPr>
          <t>Adams, Merrin (L&amp;W, Lucas Heights):</t>
        </r>
        <r>
          <rPr>
            <sz val="9"/>
            <color indexed="81"/>
            <rFont val="Tahoma"/>
            <family val="2"/>
          </rPr>
          <t xml:space="preserve">
average temperature range = 21.7-21.9, therefore assume an avg temperature of 21.8. Full range of temperature across all treatments = 20.7-22.7</t>
        </r>
      </text>
    </comment>
    <comment ref="D182" authorId="0" shapeId="0" xr:uid="{DDB252DA-2C11-4339-9147-BC245191EBEA}">
      <text>
        <r>
          <rPr>
            <b/>
            <sz val="9"/>
            <color indexed="81"/>
            <rFont val="Tahoma"/>
            <family val="2"/>
          </rPr>
          <t>Adams, Merrin (L&amp;W, Lucas Heights):</t>
        </r>
        <r>
          <rPr>
            <sz val="9"/>
            <color indexed="81"/>
            <rFont val="Tahoma"/>
            <family val="2"/>
          </rPr>
          <t xml:space="preserve">
range of avg pH for all treatments = 7.75-7.85, therefore assume an avg pH of 7.80. Full range of pH values across all treatments = 7.60-8.09</t>
        </r>
      </text>
    </comment>
    <comment ref="A183" authorId="0" shapeId="0" xr:uid="{82EA1EDA-BB03-4E21-915F-6459735E4ED2}">
      <text>
        <r>
          <rPr>
            <b/>
            <sz val="9"/>
            <color indexed="81"/>
            <rFont val="Tahoma"/>
            <family val="2"/>
          </rPr>
          <t>Adams, Merrin (L&amp;W, Lucas Heights):</t>
        </r>
        <r>
          <rPr>
            <sz val="9"/>
            <color indexed="81"/>
            <rFont val="Tahoma"/>
            <family val="2"/>
          </rPr>
          <t xml:space="preserve">
average temperature range = 21.7-21.9, therefore assume an avg temperature of 21.8. Full range of temperature across all treatments = 20.7-22.7</t>
        </r>
      </text>
    </comment>
    <comment ref="D183" authorId="0" shapeId="0" xr:uid="{A323FD6C-CC9D-4763-99C5-876815CD0B23}">
      <text>
        <r>
          <rPr>
            <b/>
            <sz val="9"/>
            <color indexed="81"/>
            <rFont val="Tahoma"/>
            <family val="2"/>
          </rPr>
          <t>Adams, Merrin (L&amp;W, Lucas Heights):</t>
        </r>
        <r>
          <rPr>
            <sz val="9"/>
            <color indexed="81"/>
            <rFont val="Tahoma"/>
            <family val="2"/>
          </rPr>
          <t xml:space="preserve">
range of avg pH for all treatments = 7.75-7.85, therefore assume an avg pH of 7.80. Full range of pH values across all treatments = 7.60-8.09</t>
        </r>
      </text>
    </comment>
    <comment ref="A184" authorId="0" shapeId="0" xr:uid="{A648D2B3-8655-4F63-8D37-59EDCDB33B56}">
      <text>
        <r>
          <rPr>
            <b/>
            <sz val="9"/>
            <color indexed="81"/>
            <rFont val="Tahoma"/>
            <family val="2"/>
          </rPr>
          <t>Adams, Merrin (L&amp;W, Lucas Heights):</t>
        </r>
        <r>
          <rPr>
            <sz val="9"/>
            <color indexed="81"/>
            <rFont val="Tahoma"/>
            <family val="2"/>
          </rPr>
          <t xml:space="preserve">
average temperature range = 21.7-21.9, therefore assume an avg temperature of 21.8. Full range of temperature across all treatments = 20.7-22.7</t>
        </r>
      </text>
    </comment>
    <comment ref="D184" authorId="0" shapeId="0" xr:uid="{5DF52F0E-FBEC-4C8D-9779-83E233E70B58}">
      <text>
        <r>
          <rPr>
            <b/>
            <sz val="9"/>
            <color indexed="81"/>
            <rFont val="Tahoma"/>
            <family val="2"/>
          </rPr>
          <t>Adams, Merrin (L&amp;W, Lucas Heights):</t>
        </r>
        <r>
          <rPr>
            <sz val="9"/>
            <color indexed="81"/>
            <rFont val="Tahoma"/>
            <family val="2"/>
          </rPr>
          <t xml:space="preserve">
range of avg pH for all treatments = 7.75-7.85, therefore assume an avg pH of 7.80. Full range of pH values across all treatments = 7.60-8.09</t>
        </r>
      </text>
    </comment>
  </commentList>
</comments>
</file>

<file path=xl/sharedStrings.xml><?xml version="1.0" encoding="utf-8"?>
<sst xmlns="http://schemas.openxmlformats.org/spreadsheetml/2006/main" count="10382" uniqueCount="964">
  <si>
    <t>Record ID</t>
  </si>
  <si>
    <t>Data Source ID</t>
  </si>
  <si>
    <t xml:space="preserve">Media Type </t>
  </si>
  <si>
    <t>Species Scientific Name</t>
  </si>
  <si>
    <t>Phylum</t>
  </si>
  <si>
    <t>Type of Organism (fish/amphibians/macroinvertebrates/microinvertebrates/macrophytes/macroalgae/microalgae)</t>
  </si>
  <si>
    <t>Hetero/ Phototroph</t>
  </si>
  <si>
    <t>Life Stage</t>
  </si>
  <si>
    <t>Endpoint</t>
  </si>
  <si>
    <t>Endpoint Measurement</t>
  </si>
  <si>
    <t>Toxicity Value</t>
  </si>
  <si>
    <t xml:space="preserve">Exposure Duration  </t>
  </si>
  <si>
    <t>Exposure Duration Units</t>
  </si>
  <si>
    <t>Acute/ Chronic</t>
  </si>
  <si>
    <t>Test Media</t>
  </si>
  <si>
    <t>Temperature (°C)</t>
  </si>
  <si>
    <t>pH</t>
  </si>
  <si>
    <t>pH as one value (average or median of range or more than one value reported) mean as reported (2-3 sig figs)</t>
  </si>
  <si>
    <t>% un-ionised ammonia</t>
  </si>
  <si>
    <t>Published Total Ammonia Value               (mg N/L)</t>
  </si>
  <si>
    <t>Published Unionised Ammonia Value         (µg N/L)</t>
  </si>
  <si>
    <r>
      <t>Unionised Ammonia Corrected Concentration (µg N</t>
    </r>
    <r>
      <rPr>
        <b/>
        <sz val="10"/>
        <color rgb="FF000000"/>
        <rFont val="Calibri"/>
        <family val="2"/>
      </rPr>
      <t>/L)</t>
    </r>
  </si>
  <si>
    <t>Total Ammonia (published value; if not published, unionised ammonia converted to total (at test pH and temperature)) mg N/L</t>
  </si>
  <si>
    <t>250-1</t>
  </si>
  <si>
    <t>Freshwater</t>
  </si>
  <si>
    <t>Chlorella vulgaris</t>
  </si>
  <si>
    <t>Chlorophyta</t>
  </si>
  <si>
    <t>Microalga</t>
  </si>
  <si>
    <t>Autotroph</t>
  </si>
  <si>
    <t>&lt;72 h old</t>
  </si>
  <si>
    <t>Growth rate</t>
  </si>
  <si>
    <t>EC10</t>
  </si>
  <si>
    <t>h</t>
  </si>
  <si>
    <t>Chronic</t>
  </si>
  <si>
    <t>Bolds Basal Medium</t>
  </si>
  <si>
    <t>25 ± 0.5</t>
  </si>
  <si>
    <t>6.6 (6.51-6.62)</t>
  </si>
  <si>
    <t>NR</t>
  </si>
  <si>
    <t>1950 (µg NH3/L)</t>
  </si>
  <si>
    <t>250-2</t>
  </si>
  <si>
    <t>EC50</t>
  </si>
  <si>
    <t>6.6 (6.52-6.61)</t>
  </si>
  <si>
    <t>2630 (µg NH3/L</t>
  </si>
  <si>
    <t>250-3</t>
  </si>
  <si>
    <t>Pseudokirchneriella subcapitata</t>
  </si>
  <si>
    <t>1700 (µg NH3/L)</t>
  </si>
  <si>
    <t>250-4</t>
  </si>
  <si>
    <t>2310 (µg NH3/L)</t>
  </si>
  <si>
    <t>236-1</t>
  </si>
  <si>
    <t>Polycelis felina</t>
  </si>
  <si>
    <t>Platyhelminthes</t>
  </si>
  <si>
    <t>Microinvertebrate</t>
  </si>
  <si>
    <t>Heterotroph</t>
  </si>
  <si>
    <t>Mortality</t>
  </si>
  <si>
    <t>NOEC</t>
  </si>
  <si>
    <t>d</t>
  </si>
  <si>
    <t>bottled water, without chlorine</t>
  </si>
  <si>
    <t>15.1 ± 0.7</t>
  </si>
  <si>
    <t>8.11 ± 0.3</t>
  </si>
  <si>
    <t>245-16</t>
  </si>
  <si>
    <t>Ceriodaphnia dubia</t>
  </si>
  <si>
    <t>Arthropoda</t>
  </si>
  <si>
    <t>Microcrustacean</t>
  </si>
  <si>
    <t>Neonate &lt;24h</t>
  </si>
  <si>
    <t>Reproduction</t>
  </si>
  <si>
    <t>St Vrain River water (on-site testing)</t>
  </si>
  <si>
    <t>245-17</t>
  </si>
  <si>
    <t>LOEC</t>
  </si>
  <si>
    <t>245-18</t>
  </si>
  <si>
    <t>MATC</t>
  </si>
  <si>
    <t>224-2</t>
  </si>
  <si>
    <r>
      <t xml:space="preserve">Ceriodaphnia dubia </t>
    </r>
    <r>
      <rPr>
        <sz val="10"/>
        <rFont val="Calibri"/>
        <family val="2"/>
        <scheme val="minor"/>
      </rPr>
      <t>(Aust isol)</t>
    </r>
  </si>
  <si>
    <t>Hetertrophic</t>
  </si>
  <si>
    <t>Neonates (&lt;24 h old)</t>
  </si>
  <si>
    <t>Reproduction (three broods)</t>
  </si>
  <si>
    <t>Sydney tap water (+ conductivity adjustment)</t>
  </si>
  <si>
    <t>240-2</t>
  </si>
  <si>
    <t>Daphnia magna</t>
  </si>
  <si>
    <t>neonate</t>
  </si>
  <si>
    <t>Tittabawassee River water, filtered.</t>
  </si>
  <si>
    <t>19.5-20.0</t>
  </si>
  <si>
    <t>8.3-8.6</t>
  </si>
  <si>
    <t>240-3</t>
  </si>
  <si>
    <t xml:space="preserve">Reproduction </t>
  </si>
  <si>
    <t>Mean total young/daphnid</t>
  </si>
  <si>
    <t>240-4</t>
  </si>
  <si>
    <t>Mean total no of broods/daphnid</t>
  </si>
  <si>
    <t>240-5</t>
  </si>
  <si>
    <t>Mean brood size/daphnid</t>
  </si>
  <si>
    <t>240-6</t>
  </si>
  <si>
    <t>231-1</t>
  </si>
  <si>
    <t xml:space="preserve">Deleatidium sp. </t>
  </si>
  <si>
    <t>Insect</t>
  </si>
  <si>
    <t>Heterotrophic</t>
  </si>
  <si>
    <t>mixed (natural population)</t>
  </si>
  <si>
    <r>
      <t xml:space="preserve">Mortality (of juvenile </t>
    </r>
    <r>
      <rPr>
        <i/>
        <sz val="10"/>
        <color theme="1"/>
        <rFont val="Calibri"/>
        <family val="2"/>
        <scheme val="minor"/>
      </rPr>
      <t>Deleatidium</t>
    </r>
    <r>
      <rPr>
        <sz val="10"/>
        <color theme="1"/>
        <rFont val="Calibri"/>
        <family val="2"/>
        <scheme val="minor"/>
      </rPr>
      <t xml:space="preserve"> sp.)</t>
    </r>
  </si>
  <si>
    <t>Mesocosm (sediment and lake water)</t>
  </si>
  <si>
    <t>221-2</t>
  </si>
  <si>
    <t>Hyalella azteca</t>
  </si>
  <si>
    <t>Amphipod</t>
  </si>
  <si>
    <t>Young (&lt;1 week old)</t>
  </si>
  <si>
    <t>Reproduction (average young per replicate)</t>
  </si>
  <si>
    <t>wks</t>
  </si>
  <si>
    <t>dechlorinated tap water (water characteristics given)</t>
  </si>
  <si>
    <r>
      <t xml:space="preserve">8.04 </t>
    </r>
    <r>
      <rPr>
        <sz val="10"/>
        <color theme="1"/>
        <rFont val="Calibri"/>
        <family val="2"/>
      </rPr>
      <t>± 0.43</t>
    </r>
  </si>
  <si>
    <t>221-4</t>
  </si>
  <si>
    <t>Adult (4 weeks old)</t>
  </si>
  <si>
    <r>
      <t xml:space="preserve">8.43 </t>
    </r>
    <r>
      <rPr>
        <sz val="10"/>
        <color theme="1"/>
        <rFont val="Calibri"/>
        <family val="2"/>
      </rPr>
      <t>± 0.34</t>
    </r>
  </si>
  <si>
    <t>221-1</t>
  </si>
  <si>
    <t>Survival</t>
  </si>
  <si>
    <t>221-3</t>
  </si>
  <si>
    <t>221-5</t>
  </si>
  <si>
    <t>LC50</t>
  </si>
  <si>
    <t>10% dechlorinated tap water (water characteristics given)</t>
  </si>
  <si>
    <r>
      <t xml:space="preserve">7.4 </t>
    </r>
    <r>
      <rPr>
        <sz val="10"/>
        <color theme="1"/>
        <rFont val="Calibri"/>
        <family val="2"/>
      </rPr>
      <t>± 0.35</t>
    </r>
  </si>
  <si>
    <t>221-6</t>
  </si>
  <si>
    <r>
      <t xml:space="preserve">7.28 </t>
    </r>
    <r>
      <rPr>
        <sz val="10"/>
        <color theme="1"/>
        <rFont val="Calibri"/>
        <family val="2"/>
      </rPr>
      <t>± 0.39</t>
    </r>
  </si>
  <si>
    <t>221-7</t>
  </si>
  <si>
    <t>221-8</t>
  </si>
  <si>
    <t>235-1</t>
  </si>
  <si>
    <t>Potamopyrgus antipodarum</t>
  </si>
  <si>
    <t>Mollusca</t>
  </si>
  <si>
    <t>Gastropod</t>
  </si>
  <si>
    <t>Immobility</t>
  </si>
  <si>
    <t>8.1 ± 0.3</t>
  </si>
  <si>
    <t>254-10</t>
  </si>
  <si>
    <t>Lampsilis fasciola</t>
  </si>
  <si>
    <t>Bivalve</t>
  </si>
  <si>
    <t>Juvenile</t>
  </si>
  <si>
    <t>ASTM hard water</t>
  </si>
  <si>
    <t>20 ± 1</t>
  </si>
  <si>
    <t>8.2 ± 0.1</t>
  </si>
  <si>
    <t>254-11</t>
  </si>
  <si>
    <t>IC10</t>
  </si>
  <si>
    <t>&lt;0.13</t>
  </si>
  <si>
    <t>254-13</t>
  </si>
  <si>
    <t>Growth</t>
  </si>
  <si>
    <t>Shell length</t>
  </si>
  <si>
    <t>253-1</t>
  </si>
  <si>
    <t>Lampsilis siliquoidea</t>
  </si>
  <si>
    <t>Juvenile (2 mths)</t>
  </si>
  <si>
    <t>ASTM hard water, 160-180 mg/L hardness</t>
  </si>
  <si>
    <t>8.24-8.27</t>
  </si>
  <si>
    <t>253-2</t>
  </si>
  <si>
    <t>253-3</t>
  </si>
  <si>
    <t>254-5</t>
  </si>
  <si>
    <t>254-6</t>
  </si>
  <si>
    <t>254-8</t>
  </si>
  <si>
    <t>256-1</t>
  </si>
  <si>
    <t>Musculium transversum</t>
  </si>
  <si>
    <t>Unchlorinated well water</t>
  </si>
  <si>
    <t>21.7-21.9</t>
  </si>
  <si>
    <t>7.6-8.1</t>
  </si>
  <si>
    <t>256-2</t>
  </si>
  <si>
    <t>242-1</t>
  </si>
  <si>
    <t>Sphaerium novaezelandiae</t>
  </si>
  <si>
    <t>Young</t>
  </si>
  <si>
    <t>Fernhollow Spring water, known contaminant-free water, phys-chem described.</t>
  </si>
  <si>
    <t>5.76-8.24</t>
  </si>
  <si>
    <t>~1.698</t>
  </si>
  <si>
    <t>242-4</t>
  </si>
  <si>
    <t>~1.078</t>
  </si>
  <si>
    <t>242-6</t>
  </si>
  <si>
    <t>5.76-7.95</t>
  </si>
  <si>
    <t>~1.155</t>
  </si>
  <si>
    <t>242-2</t>
  </si>
  <si>
    <t>242-5</t>
  </si>
  <si>
    <t>IC50</t>
  </si>
  <si>
    <t>242-3</t>
  </si>
  <si>
    <t>Length</t>
  </si>
  <si>
    <t>~2.081</t>
  </si>
  <si>
    <t>254-1</t>
  </si>
  <si>
    <t>Villosa iris</t>
  </si>
  <si>
    <t>254-2</t>
  </si>
  <si>
    <t>254-3</t>
  </si>
  <si>
    <t>&lt;0.40</t>
  </si>
  <si>
    <t>254-4</t>
  </si>
  <si>
    <t xml:space="preserve">Growth </t>
  </si>
  <si>
    <t>Chordata</t>
  </si>
  <si>
    <t>Fish</t>
  </si>
  <si>
    <t>Weight</t>
  </si>
  <si>
    <t>Dechlorinated tap water</t>
  </si>
  <si>
    <t>226-1</t>
  </si>
  <si>
    <t>Cyprinus carpio</t>
  </si>
  <si>
    <t>Fry (larvae)</t>
  </si>
  <si>
    <t>Synthetic softwater</t>
  </si>
  <si>
    <t>7.72 (7.59-7.79)</t>
  </si>
  <si>
    <t>226-2</t>
  </si>
  <si>
    <t>227-1</t>
  </si>
  <si>
    <t>Deltistes luxatus</t>
  </si>
  <si>
    <t>Larvae (late stage)</t>
  </si>
  <si>
    <t>20% well water 80% deionised water</t>
  </si>
  <si>
    <t>22.3 ± 0.22</t>
  </si>
  <si>
    <t>9.5 ± 0.09</t>
  </si>
  <si>
    <t>227-2</t>
  </si>
  <si>
    <t>225-2</t>
  </si>
  <si>
    <t>Esox lucius</t>
  </si>
  <si>
    <t>Fertilised eggs</t>
  </si>
  <si>
    <t>Hatching success</t>
  </si>
  <si>
    <t>Mortality (Hatching success to surviving larvae)</t>
  </si>
  <si>
    <t>EC20</t>
  </si>
  <si>
    <t>15-20</t>
  </si>
  <si>
    <t>8.6 (8.5-8.7)</t>
  </si>
  <si>
    <t>7.6 (7.6-7.7)</t>
  </si>
  <si>
    <t>225-3</t>
  </si>
  <si>
    <t>225-4</t>
  </si>
  <si>
    <t>LC20</t>
  </si>
  <si>
    <t>225-5</t>
  </si>
  <si>
    <t>Biomass</t>
  </si>
  <si>
    <t>Biomass (Weight)</t>
  </si>
  <si>
    <t>225-6</t>
  </si>
  <si>
    <t>225-8</t>
  </si>
  <si>
    <t xml:space="preserve">Biomass (total weight of fish at end of test divide by number of larvae at the beginning) </t>
  </si>
  <si>
    <t>239-1</t>
  </si>
  <si>
    <t>Ictalurus punctatus</t>
  </si>
  <si>
    <t>Davis campus water, detailed description of filtration and treatment of water to remove contaminants and excess N2.</t>
  </si>
  <si>
    <t>27.9 ± 0.1</t>
  </si>
  <si>
    <t>8.30-8.44</t>
  </si>
  <si>
    <t>239-2</t>
  </si>
  <si>
    <t xml:space="preserve">Biomass </t>
  </si>
  <si>
    <t>Wet weight</t>
  </si>
  <si>
    <t>239-3</t>
  </si>
  <si>
    <t>Dry weight</t>
  </si>
  <si>
    <t>247-14</t>
  </si>
  <si>
    <t>Embryo</t>
  </si>
  <si>
    <t>Biomass (final wet weight)</t>
  </si>
  <si>
    <t>Dechlorinated tap water or well water un-chlorinated</t>
  </si>
  <si>
    <t>23.5-28</t>
  </si>
  <si>
    <t>7.48-8.14</t>
  </si>
  <si>
    <t>244-1</t>
  </si>
  <si>
    <t>Lepomis cyanellus</t>
  </si>
  <si>
    <t>Lake Superior water</t>
  </si>
  <si>
    <t>22 ± 0.1</t>
  </si>
  <si>
    <t>7.9 ± 0.1</t>
  </si>
  <si>
    <t>220 (µg NH3/L)</t>
  </si>
  <si>
    <t>237-16</t>
  </si>
  <si>
    <t>Micropterus dolomieue</t>
  </si>
  <si>
    <t>Lake Superior water, filtered</t>
  </si>
  <si>
    <t>22.3 ± 0.25</t>
  </si>
  <si>
    <t>8.68 ± 0.10</t>
  </si>
  <si>
    <t>237-5</t>
  </si>
  <si>
    <t>6.60 ± 0.08</t>
  </si>
  <si>
    <t>237-9</t>
  </si>
  <si>
    <t>7.25 ± 0.06</t>
  </si>
  <si>
    <t>237-17</t>
  </si>
  <si>
    <t>237-6</t>
  </si>
  <si>
    <t>237-10</t>
  </si>
  <si>
    <t>237-13</t>
  </si>
  <si>
    <t>7.83 ± 0.09</t>
  </si>
  <si>
    <t>237-18</t>
  </si>
  <si>
    <t>237-7</t>
  </si>
  <si>
    <t>237-11</t>
  </si>
  <si>
    <t>237-14</t>
  </si>
  <si>
    <t>237-19</t>
  </si>
  <si>
    <t>237-8</t>
  </si>
  <si>
    <t>wet weight</t>
  </si>
  <si>
    <t>237-12</t>
  </si>
  <si>
    <t>237-15</t>
  </si>
  <si>
    <t>237-20</t>
  </si>
  <si>
    <t>220-4</t>
  </si>
  <si>
    <t>220</t>
  </si>
  <si>
    <t>Notropis topeka</t>
  </si>
  <si>
    <t>Adult</t>
  </si>
  <si>
    <t xml:space="preserve">Survival </t>
  </si>
  <si>
    <t>Well water (phys-chem measured and stated)</t>
  </si>
  <si>
    <t>23.9 (SE=0.13)</t>
  </si>
  <si>
    <t>7.94 (SE=0.008)</t>
  </si>
  <si>
    <t>220-5</t>
  </si>
  <si>
    <t>Specific growth rate</t>
  </si>
  <si>
    <t>12.4 (SE=0.18)</t>
  </si>
  <si>
    <t>8.07 (SE=0.003)</t>
  </si>
  <si>
    <t>249-2</t>
  </si>
  <si>
    <t>Oncorhynchus clarkii</t>
  </si>
  <si>
    <t>Fry - 1g</t>
  </si>
  <si>
    <t>Spring water from where animals were collected. Table of data for water qulaity provided.</t>
  </si>
  <si>
    <t>13.1 (11.7-14.7)</t>
  </si>
  <si>
    <t>7.81 (7.74-7.88)</t>
  </si>
  <si>
    <t>560 (µg NH3/L)</t>
  </si>
  <si>
    <t>249-6</t>
  </si>
  <si>
    <t>12.8 (12.0-13.5)</t>
  </si>
  <si>
    <t>7.80 (7.73-7.93)</t>
  </si>
  <si>
    <t>249-5</t>
  </si>
  <si>
    <t>Fry - 3g</t>
  </si>
  <si>
    <t>12.4 (11.9-12.7)</t>
  </si>
  <si>
    <t>7.80 (7.75-7.88)</t>
  </si>
  <si>
    <t>370 (µg NH3/L)</t>
  </si>
  <si>
    <t>249-8</t>
  </si>
  <si>
    <t>12.2 (12.0-12.4)</t>
  </si>
  <si>
    <t>7.78 (7.72-7.83)</t>
  </si>
  <si>
    <t>340 (µg NH3/L)</t>
  </si>
  <si>
    <t>249-3</t>
  </si>
  <si>
    <t>249-7</t>
  </si>
  <si>
    <t>222-3</t>
  </si>
  <si>
    <t>Oncorhynchus mykiss</t>
  </si>
  <si>
    <t>Eggs</t>
  </si>
  <si>
    <t>mix of well water and reverse-osmosis water</t>
  </si>
  <si>
    <t>11.4 ± 0.25</t>
  </si>
  <si>
    <t>7.75 ± 0.13</t>
  </si>
  <si>
    <t>222-4</t>
  </si>
  <si>
    <t>222-7</t>
  </si>
  <si>
    <t>Weight (combined weight of surviving fish)</t>
  </si>
  <si>
    <t>238-2</t>
  </si>
  <si>
    <t>Growth (length)</t>
  </si>
  <si>
    <t>dechlorinated tap water</t>
  </si>
  <si>
    <t>10 or 12°C</t>
  </si>
  <si>
    <t>7.5 (7.4-7.6)</t>
  </si>
  <si>
    <t>&lt;50</t>
  </si>
  <si>
    <t>222-5</t>
  </si>
  <si>
    <t>238-3</t>
  </si>
  <si>
    <t>238-4</t>
  </si>
  <si>
    <t>252-1</t>
  </si>
  <si>
    <t>Larvae - 3.7g</t>
  </si>
  <si>
    <t>Spring water. Chemical characterisics are described in a Table.</t>
  </si>
  <si>
    <t>13.2 (12.0-13.5)</t>
  </si>
  <si>
    <t>7.69 (7.60-7.80)</t>
  </si>
  <si>
    <t>322 (µg NH3/L)</t>
  </si>
  <si>
    <t>252-2</t>
  </si>
  <si>
    <t>Larvae - 3.3g</t>
  </si>
  <si>
    <t>13.2 (13.0-14.0)</t>
  </si>
  <si>
    <t>7.69 (7.60-7.85)</t>
  </si>
  <si>
    <t>426 (µg NH3/L)</t>
  </si>
  <si>
    <t>238-1</t>
  </si>
  <si>
    <t>248-4</t>
  </si>
  <si>
    <t>Pimephales promelas</t>
  </si>
  <si>
    <t>Larvae (3-5 d old)</t>
  </si>
  <si>
    <t>Egg hatching (from exposed full life cycle of parental fish)</t>
  </si>
  <si>
    <t xml:space="preserve">~255 </t>
  </si>
  <si>
    <t>Ground water - water quality parameters described.</t>
  </si>
  <si>
    <t>23.8-24.4</t>
  </si>
  <si>
    <t>7.95-8.05</t>
  </si>
  <si>
    <t>~3.5</t>
  </si>
  <si>
    <t>190 (µg NH3/L</t>
  </si>
  <si>
    <t>248-2</t>
  </si>
  <si>
    <t>Growth (Length)</t>
  </si>
  <si>
    <t>~7.3</t>
  </si>
  <si>
    <t>440 (µg NH3/L)</t>
  </si>
  <si>
    <t>223-3</t>
  </si>
  <si>
    <t>223</t>
  </si>
  <si>
    <t>Young (4-d post-hatch)</t>
  </si>
  <si>
    <t>Well water (characteristics measured)</t>
  </si>
  <si>
    <r>
      <t xml:space="preserve">19.9 </t>
    </r>
    <r>
      <rPr>
        <sz val="10"/>
        <color theme="1"/>
        <rFont val="Calibri"/>
        <family val="2"/>
      </rPr>
      <t>±</t>
    </r>
    <r>
      <rPr>
        <sz val="9"/>
        <color theme="1"/>
        <rFont val="Calibri"/>
        <family val="2"/>
      </rPr>
      <t xml:space="preserve"> 1.0</t>
    </r>
  </si>
  <si>
    <r>
      <t xml:space="preserve">8.24 </t>
    </r>
    <r>
      <rPr>
        <sz val="10"/>
        <color theme="1"/>
        <rFont val="Calibri"/>
        <family val="2"/>
      </rPr>
      <t>± 0.01</t>
    </r>
  </si>
  <si>
    <t>243-4</t>
  </si>
  <si>
    <t>23.7-25.8</t>
  </si>
  <si>
    <t>7.75-8.42</t>
  </si>
  <si>
    <t>223-4</t>
  </si>
  <si>
    <r>
      <t xml:space="preserve">19.9 </t>
    </r>
    <r>
      <rPr>
        <sz val="10"/>
        <color theme="1"/>
        <rFont val="Calibri"/>
        <family val="2"/>
      </rPr>
      <t>± 1.0</t>
    </r>
  </si>
  <si>
    <t>223-12</t>
  </si>
  <si>
    <t>220-6</t>
  </si>
  <si>
    <t>24.7 (SE=0.06)</t>
  </si>
  <si>
    <t>7.92 (SE=0.012)</t>
  </si>
  <si>
    <t>220-7</t>
  </si>
  <si>
    <t>Mortality (hatching to surviving swimming fry)</t>
  </si>
  <si>
    <t>25.5 (SE=0.02)</t>
  </si>
  <si>
    <t>248-1</t>
  </si>
  <si>
    <t>up to 1 y</t>
  </si>
  <si>
    <t>y</t>
  </si>
  <si>
    <t>243-5</t>
  </si>
  <si>
    <t>larval development</t>
  </si>
  <si>
    <t>Larval Development (Percentage normal)</t>
  </si>
  <si>
    <t>247-12</t>
  </si>
  <si>
    <t>22.7-26.7</t>
  </si>
  <si>
    <t>7.62-8.22</t>
  </si>
  <si>
    <t>223-5</t>
  </si>
  <si>
    <t>Weight (final weight)</t>
  </si>
  <si>
    <t>243-6</t>
  </si>
  <si>
    <t>Weight (wet)</t>
  </si>
  <si>
    <t>223-9</t>
  </si>
  <si>
    <t>223-10</t>
  </si>
  <si>
    <t>223-11</t>
  </si>
  <si>
    <t>LC1</t>
  </si>
  <si>
    <t>223-15</t>
  </si>
  <si>
    <t>Ptychocheilus lucius</t>
  </si>
  <si>
    <t>Young (8-d post hatch)</t>
  </si>
  <si>
    <t>223-16</t>
  </si>
  <si>
    <t>223-24</t>
  </si>
  <si>
    <t>223-17</t>
  </si>
  <si>
    <t>223-21</t>
  </si>
  <si>
    <t>223-22</t>
  </si>
  <si>
    <t>223-23</t>
  </si>
  <si>
    <t>223-27</t>
  </si>
  <si>
    <t>Xyrauchen texanus</t>
  </si>
  <si>
    <t>Young (9-d post hatch)</t>
  </si>
  <si>
    <t>223-28</t>
  </si>
  <si>
    <t>223-36</t>
  </si>
  <si>
    <t>223-33</t>
  </si>
  <si>
    <t>223-34</t>
  </si>
  <si>
    <t>223-35</t>
  </si>
  <si>
    <t>228-5</t>
  </si>
  <si>
    <t>Pseudacris regilla</t>
  </si>
  <si>
    <t>Amphibian</t>
  </si>
  <si>
    <t>Deformaties</t>
  </si>
  <si>
    <t>NOAEL</t>
  </si>
  <si>
    <t>Well water (uncontaminated, pH, cond, hardness, alk measured)</t>
  </si>
  <si>
    <t>7.02-7.61</t>
  </si>
  <si>
    <t>230 (µg NH3/L)</t>
  </si>
  <si>
    <t>228-4</t>
  </si>
  <si>
    <t>Biomass (Length)</t>
  </si>
  <si>
    <t>30 (µg NH3/L)</t>
  </si>
  <si>
    <t>228-7</t>
  </si>
  <si>
    <t>180 (µg NH3/L)</t>
  </si>
  <si>
    <t>228-1</t>
  </si>
  <si>
    <t>360 (µg NH3/L)</t>
  </si>
  <si>
    <t>228-2</t>
  </si>
  <si>
    <t>640 (µg NH3/L)</t>
  </si>
  <si>
    <t>228-3</t>
  </si>
  <si>
    <t>520 (µg NH3/L)</t>
  </si>
  <si>
    <t>228-6</t>
  </si>
  <si>
    <t>90 (µg NH3/L)</t>
  </si>
  <si>
    <t>229-1</t>
  </si>
  <si>
    <t>Tadpole</t>
  </si>
  <si>
    <t>7.0-7.6</t>
  </si>
  <si>
    <t>0.456-1.789</t>
  </si>
  <si>
    <t>450 (µg NH3/L)</t>
  </si>
  <si>
    <t>229-3</t>
  </si>
  <si>
    <t>880 (µg NH3/L)</t>
  </si>
  <si>
    <t>229-6</t>
  </si>
  <si>
    <t>229-8</t>
  </si>
  <si>
    <t>200 (µg NH3/L)</t>
  </si>
  <si>
    <t>229-9</t>
  </si>
  <si>
    <t>110 (µg NH3/L)</t>
  </si>
  <si>
    <t>229-2</t>
  </si>
  <si>
    <t>Xenopus laevis</t>
  </si>
  <si>
    <t>6.7-7.6</t>
  </si>
  <si>
    <t>0.229-1.789</t>
  </si>
  <si>
    <t>280 (µg NH3/L)</t>
  </si>
  <si>
    <t>229-4</t>
  </si>
  <si>
    <t>420 (µg NH3/L)</t>
  </si>
  <si>
    <t>229-5</t>
  </si>
  <si>
    <t>330 (µg NH3/L)</t>
  </si>
  <si>
    <t>229-7</t>
  </si>
  <si>
    <t>Length and weight</t>
  </si>
  <si>
    <t>Biomass (Length and weight)</t>
  </si>
  <si>
    <t>260 (µg NH3/L)</t>
  </si>
  <si>
    <t>229-10</t>
  </si>
  <si>
    <t>910 (µg NH3/L)</t>
  </si>
  <si>
    <t>229-11</t>
  </si>
  <si>
    <t>500 (µg NH3/L)</t>
  </si>
  <si>
    <t>15.3 ± 0.5</t>
  </si>
  <si>
    <r>
      <t>CONCENTRATION CONVERSIONS (</t>
    </r>
    <r>
      <rPr>
        <b/>
        <i/>
        <sz val="11"/>
        <color theme="0"/>
        <rFont val="Calibri"/>
        <family val="2"/>
        <scheme val="minor"/>
      </rPr>
      <t>see tables far right</t>
    </r>
    <r>
      <rPr>
        <b/>
        <sz val="11"/>
        <color theme="0"/>
        <rFont val="Calibri"/>
        <family val="2"/>
        <scheme val="minor"/>
      </rPr>
      <t>)</t>
    </r>
  </si>
  <si>
    <r>
      <t>PREFERENTIAL SELECTION &amp; GROUPING OF DATA (</t>
    </r>
    <r>
      <rPr>
        <b/>
        <i/>
        <sz val="10"/>
        <color theme="0"/>
        <rFont val="Arial"/>
        <family val="2"/>
      </rPr>
      <t>See Warne et al., revised method - Table 5.</t>
    </r>
    <r>
      <rPr>
        <b/>
        <sz val="10"/>
        <color theme="0"/>
        <rFont val="Arial"/>
        <family val="2"/>
      </rPr>
      <t>)</t>
    </r>
  </si>
  <si>
    <t>DERIVE ONE VALUE FOR EACH SPECIES</t>
  </si>
  <si>
    <t>1. Toxicity Value</t>
  </si>
  <si>
    <t>2. Acute/Chronic</t>
  </si>
  <si>
    <t>3. Endpoint Measurement</t>
  </si>
  <si>
    <t>4. Duration</t>
  </si>
  <si>
    <t>Toxicity Value (repeat from Column M)</t>
  </si>
  <si>
    <t>Toxicity Value Conversion factor</t>
  </si>
  <si>
    <t>Acute/Chronic (repeat from Column P)</t>
  </si>
  <si>
    <t>ACR Conversion Factor</t>
  </si>
  <si>
    <r>
      <t>Toxicity Value</t>
    </r>
    <r>
      <rPr>
        <sz val="10"/>
        <rFont val="Calibri"/>
        <family val="2"/>
      </rPr>
      <t xml:space="preserve"> (repeat from Column M)</t>
    </r>
  </si>
  <si>
    <t>Preferential selection (NEC/EC10/NOEC = y)</t>
  </si>
  <si>
    <r>
      <t xml:space="preserve">Acute/Chronic </t>
    </r>
    <r>
      <rPr>
        <sz val="10"/>
        <rFont val="Calibri"/>
        <family val="2"/>
      </rPr>
      <t>(repeat from Column P)</t>
    </r>
  </si>
  <si>
    <t>Preferential selection (Chronic = y)</t>
  </si>
  <si>
    <r>
      <t xml:space="preserve">Endpoint Measurement </t>
    </r>
    <r>
      <rPr>
        <sz val="10"/>
        <color rgb="FF000000"/>
        <rFont val="Calibri"/>
        <family val="2"/>
      </rPr>
      <t>(repeat from Column K)</t>
    </r>
  </si>
  <si>
    <t>Group the same Endpoint</t>
  </si>
  <si>
    <r>
      <t xml:space="preserve">DURATION </t>
    </r>
    <r>
      <rPr>
        <sz val="10"/>
        <color rgb="FF000000"/>
        <rFont val="Calibri"/>
        <family val="2"/>
      </rPr>
      <t>(repeat from Column N)</t>
    </r>
  </si>
  <si>
    <t>Group same duration for each Endpoint</t>
  </si>
  <si>
    <t>TABLE OF CONVERSION FACTORS (Warne et al 2014)</t>
  </si>
  <si>
    <t>a</t>
  </si>
  <si>
    <t>a-i</t>
  </si>
  <si>
    <t/>
  </si>
  <si>
    <t>NOEC/EC10</t>
  </si>
  <si>
    <t>n</t>
  </si>
  <si>
    <t>Rejected (Chronic EC10 available)</t>
  </si>
  <si>
    <t>NEC</t>
  </si>
  <si>
    <t>Rejected (Chronic NOEC available)</t>
  </si>
  <si>
    <t>Rejected (greater than toxicity value, chronic NOEC available)</t>
  </si>
  <si>
    <t>EC10 Acute to Chronic Ratio (ACR)</t>
  </si>
  <si>
    <t>Start (acute)</t>
  </si>
  <si>
    <t>Conversion</t>
  </si>
  <si>
    <t>End (chronic)</t>
  </si>
  <si>
    <t>Acute</t>
  </si>
  <si>
    <t>b</t>
  </si>
  <si>
    <t>b-i</t>
  </si>
  <si>
    <t>c</t>
  </si>
  <si>
    <t>c-i</t>
  </si>
  <si>
    <t>d-i</t>
  </si>
  <si>
    <t>a-ii</t>
  </si>
  <si>
    <t>b-ii</t>
  </si>
  <si>
    <t>Rejected (Chronic NOEC available; note test water is very low ionic strength, LC50=17)</t>
  </si>
  <si>
    <t>Rejected (reliable IC10 available)</t>
  </si>
  <si>
    <t>Rejected (no concentration-response relationship observed)</t>
  </si>
  <si>
    <t>Rejected (Chronic NOEC/EC10 available)</t>
  </si>
  <si>
    <t>Rejected (Unreliable EC10 (interupted concentration-response), chronic NOEC available)</t>
  </si>
  <si>
    <t>Rejected (poor concentration-response curve; alternative values available)</t>
  </si>
  <si>
    <t>Rejected (Control growth unacceptable)</t>
  </si>
  <si>
    <t>Rejected (unreliable toxicity value, chronic LC20 available)</t>
  </si>
  <si>
    <t>Rejected (Chronic LC20 available)</t>
  </si>
  <si>
    <t>Rejected (&lt; toxicity value, equivalent NOEC was based on p≤0.01, chronic NOEC available for alternative endpoint)</t>
  </si>
  <si>
    <t>a-iii</t>
  </si>
  <si>
    <t>Rejected (1 LC20 compared to 12 NOECs, chronic NOECs were generally more senstive than the LC20; hence, NOECs used in preference to LC20 for this data set)</t>
  </si>
  <si>
    <t>e-i</t>
  </si>
  <si>
    <t>Comments</t>
  </si>
  <si>
    <t>7.3-8.4</t>
  </si>
  <si>
    <t>7.95 (SE=0.006)</t>
  </si>
  <si>
    <t>For USEPA formula: 10^ upper value</t>
  </si>
  <si>
    <t xml:space="preserve">For USEPA formula: 10^ lower value </t>
  </si>
  <si>
    <t>Temperature (°C) as one value (mean of range or more than one value reported)</t>
  </si>
  <si>
    <t>Rejected (Chronic IC10 available)</t>
  </si>
  <si>
    <t>good temperature comparison data</t>
  </si>
  <si>
    <t>good pH comparison data</t>
  </si>
  <si>
    <t>b-iii</t>
  </si>
  <si>
    <t>b-iv</t>
  </si>
  <si>
    <t>NOTE: two endpoints (growth 21 d and 35 d) with the same minimum value for this species</t>
  </si>
  <si>
    <r>
      <t>Rejected (Chronic NOEC and LCx(x</t>
    </r>
    <r>
      <rPr>
        <b/>
        <sz val="10"/>
        <color rgb="FFFF0000"/>
        <rFont val="Calibri"/>
        <family val="2"/>
      </rPr>
      <t>≤</t>
    </r>
    <r>
      <rPr>
        <b/>
        <sz val="8"/>
        <color rgb="FFFF0000"/>
        <rFont val="Calibri"/>
        <family val="2"/>
      </rPr>
      <t xml:space="preserve">10) </t>
    </r>
    <r>
      <rPr>
        <b/>
        <sz val="10"/>
        <color rgb="FFFF0000"/>
        <rFont val="Calibri"/>
        <family val="2"/>
        <scheme val="minor"/>
      </rPr>
      <t>available)</t>
    </r>
  </si>
  <si>
    <r>
      <t>Rejected (Chronic LCx(x</t>
    </r>
    <r>
      <rPr>
        <b/>
        <sz val="10"/>
        <color rgb="FFFF0000"/>
        <rFont val="Calibri"/>
        <family val="2"/>
      </rPr>
      <t>≤</t>
    </r>
    <r>
      <rPr>
        <b/>
        <sz val="8"/>
        <color rgb="FFFF0000"/>
        <rFont val="Calibri"/>
        <family val="2"/>
      </rPr>
      <t xml:space="preserve">10) </t>
    </r>
    <r>
      <rPr>
        <b/>
        <sz val="10"/>
        <color rgb="FFFF0000"/>
        <rFont val="Calibri"/>
        <family val="2"/>
        <scheme val="minor"/>
      </rPr>
      <t>available)</t>
    </r>
  </si>
  <si>
    <r>
      <t>Rejected (Chronic NOEC</t>
    </r>
    <r>
      <rPr>
        <b/>
        <sz val="8"/>
        <color rgb="FFFF0000"/>
        <rFont val="Calibri"/>
        <family val="2"/>
      </rPr>
      <t xml:space="preserve"> </t>
    </r>
    <r>
      <rPr>
        <b/>
        <sz val="10"/>
        <color rgb="FFFF0000"/>
        <rFont val="Calibri"/>
        <family val="2"/>
        <scheme val="minor"/>
      </rPr>
      <t>available)</t>
    </r>
  </si>
  <si>
    <t>a (embryo)</t>
  </si>
  <si>
    <t>b (embryo)</t>
  </si>
  <si>
    <t>c (embryo)</t>
  </si>
  <si>
    <t>d (tadpole)</t>
  </si>
  <si>
    <t>e (tadpole)</t>
  </si>
  <si>
    <t>NOTE: two endpoints (30-d survival and specific growth rate ) with the same minimum value for this species</t>
  </si>
  <si>
    <t xml:space="preserve">NOTE: 14 d exposure is more sensitive than 32 d exposure. These end points can not be directly compared in this study, 32 d results based on number of fry present after thinning of surviving fry after 14 d.  </t>
  </si>
  <si>
    <t xml:space="preserve">Potential reasons for rejecting data points </t>
  </si>
  <si>
    <t>NOTE: NOAEL is the same as NOEC (derived from Dunnett's test)</t>
  </si>
  <si>
    <t>Rejected (Chronic EC/LCx, x&gt;10 and ≤20 available)</t>
  </si>
  <si>
    <t>Summary of NOECs = 1.8-21 (n=12)</t>
  </si>
  <si>
    <t>Summary of LC20 = 9.5 (n=1)</t>
  </si>
  <si>
    <t>Summary of LC1 = 2.9 (n=1)</t>
  </si>
  <si>
    <t>including mortality of the same life-stage (21 or 28 d exposure)</t>
  </si>
  <si>
    <t>Summary of NOECs = 12 (n=2)</t>
  </si>
  <si>
    <t>Summary of LC20 = 14 (n=1)</t>
  </si>
  <si>
    <t>Summary of LC1 = 8.6 (n=1)</t>
  </si>
  <si>
    <t>Summary of LC20 = 8.6 (n=1)</t>
  </si>
  <si>
    <t>Summary of LC1 = 5.7 (n=1)</t>
  </si>
  <si>
    <t>NOTE: NOAEL is the same as NOEC definition in this case (derived from Dunnett's test)</t>
  </si>
  <si>
    <t>including a range of endpoints and life stages</t>
  </si>
  <si>
    <t>waters</t>
  </si>
  <si>
    <t xml:space="preserve">Cascade Stream </t>
  </si>
  <si>
    <t xml:space="preserve">Waipaoa River </t>
  </si>
  <si>
    <t xml:space="preserve">Rangataiki River </t>
  </si>
  <si>
    <t xml:space="preserve">Ohinemuri River </t>
  </si>
  <si>
    <t xml:space="preserve">Hurunui River </t>
  </si>
  <si>
    <t xml:space="preserve">Haast River </t>
  </si>
  <si>
    <t xml:space="preserve">Mangapouri Stream </t>
  </si>
  <si>
    <t>Porirua Stream 7</t>
  </si>
  <si>
    <t xml:space="preserve">Mokotua Stream </t>
  </si>
  <si>
    <t xml:space="preserve">Carran Creek </t>
  </si>
  <si>
    <t xml:space="preserve">Appletree Creek </t>
  </si>
  <si>
    <t xml:space="preserve">Magela Creek </t>
  </si>
  <si>
    <t xml:space="preserve">Ovens River </t>
  </si>
  <si>
    <t xml:space="preserve">Ovens River adj. </t>
  </si>
  <si>
    <t xml:space="preserve">Minamurra River </t>
  </si>
  <si>
    <t xml:space="preserve">Tea Tree </t>
  </si>
  <si>
    <t xml:space="preserve">Lake Eacham </t>
  </si>
  <si>
    <t xml:space="preserve">Woronora River </t>
  </si>
  <si>
    <t xml:space="preserve">Wellington </t>
  </si>
  <si>
    <t xml:space="preserve">Sandy Creek </t>
  </si>
  <si>
    <t xml:space="preserve">Milang </t>
  </si>
  <si>
    <t>Median</t>
  </si>
  <si>
    <t>10th percentile</t>
  </si>
  <si>
    <t>90th percentile</t>
  </si>
  <si>
    <t>combined 10th percentile</t>
  </si>
  <si>
    <t>combined 90th percentile</t>
  </si>
  <si>
    <t>NZ waters</t>
  </si>
  <si>
    <t>Aus waters</t>
  </si>
  <si>
    <t>average</t>
  </si>
  <si>
    <t>median</t>
  </si>
  <si>
    <t xml:space="preserve">All data summary </t>
  </si>
  <si>
    <t>Australian data summary</t>
  </si>
  <si>
    <t>NZ data summary</t>
  </si>
  <si>
    <t>Average</t>
  </si>
  <si>
    <t>Index condition (Nickel GV submitted)</t>
  </si>
  <si>
    <t>Value closer to pH 7</t>
  </si>
  <si>
    <t>Value closer to pH 8</t>
  </si>
  <si>
    <t>n=11</t>
  </si>
  <si>
    <t>n=10</t>
  </si>
  <si>
    <r>
      <t xml:space="preserve">From Stauber et al. (2020) Application of bioavailability models to derive guideline values for nickel in freshwaters of Australia and New Zealand. </t>
    </r>
    <r>
      <rPr>
        <i/>
        <sz val="11"/>
        <color theme="1"/>
        <rFont val="Calibri"/>
        <family val="2"/>
        <scheme val="minor"/>
      </rPr>
      <t>Environmental Toxicology and Chemistry</t>
    </r>
    <r>
      <rPr>
        <sz val="11"/>
        <color theme="1"/>
        <rFont val="Calibri"/>
        <family val="2"/>
        <scheme val="minor"/>
      </rPr>
      <t xml:space="preserve"> (accepted)</t>
    </r>
  </si>
  <si>
    <t>Invertebrate (yes/no)</t>
  </si>
  <si>
    <t>Yes</t>
  </si>
  <si>
    <t>No</t>
  </si>
  <si>
    <r>
      <t>Total Ammonia normalised using USEPA formula (chronic) with temp. normalisation for invertebrates             pH 7, 20°</t>
    </r>
    <r>
      <rPr>
        <b/>
        <sz val="8"/>
        <color rgb="FF000000"/>
        <rFont val="Calibri"/>
        <family val="2"/>
      </rPr>
      <t xml:space="preserve">C </t>
    </r>
    <r>
      <rPr>
        <b/>
        <sz val="10"/>
        <color rgb="FF000000"/>
        <rFont val="Calibri"/>
        <family val="2"/>
      </rPr>
      <t>(mg N/L)</t>
    </r>
  </si>
  <si>
    <t>Total Ammonia normalised using USEPA formula (chronic)                          pH 7 (mg N/L)</t>
  </si>
  <si>
    <t>3 endpoints = 20.9</t>
  </si>
  <si>
    <t>Rejected (lack of a concentration-response relationship to derive a reliable IC10 value)</t>
  </si>
  <si>
    <t>&lt; value</t>
  </si>
  <si>
    <r>
      <t xml:space="preserve">Data summary without water pH </t>
    </r>
    <r>
      <rPr>
        <b/>
        <sz val="11"/>
        <color theme="1"/>
        <rFont val="Calibri"/>
        <family val="2"/>
      </rPr>
      <t>≤6.1 (ammonia equilibrium and toxicity normalisation formulars not recommende below pH 6)</t>
    </r>
  </si>
  <si>
    <t>All Data (Table 4)</t>
  </si>
  <si>
    <t>n=8</t>
  </si>
  <si>
    <r>
      <rPr>
        <b/>
        <sz val="11"/>
        <color theme="1"/>
        <rFont val="Calibri"/>
        <family val="2"/>
        <scheme val="minor"/>
      </rPr>
      <t>Conclusion:</t>
    </r>
    <r>
      <rPr>
        <sz val="11"/>
        <color theme="1"/>
        <rFont val="Calibri"/>
        <family val="2"/>
        <scheme val="minor"/>
      </rPr>
      <t xml:space="preserve"> Based on water pH conditions quoted in Stauber et al (2020, accepted), the pH index condition of 7.5 was selected for use (adviser group agreement) as a representative of Australian and New Zealand waters. For ammonia, toxicity values can be normalised using formulas presented in USEPA (1999) and USEPA (2013) to a standard pH of either 7 and 8, respectively, but not pH 7.5 (as was selected for nickel). In ANZECC/ARMCANZ (2000) and USEPA (1999) ammonia guideline values were derived following normalised of toxicity valyes to pH 8, while USEPA (2013) normalised ammonina toxicity values to pH 7 (with an additional temperature normalisation for invertebrate species only). The pH of 7 is closer to the broard range of pH values of Australian/NZ waters (Stauber e tal., 2020 accepted) compared to a pH of 8 and is also the most recent recommended toxicity normalisaiton formulas used and trialled for model fit by USEPA (2013), hence, initial normalisation of toxicity values to pH 7 is recommended as the default condition. Guideline values for ammonia at other pH values can then be calculated from the chronic toxicity values (pH 7) formula.  Note that using the chronic toxicity value formula for pH 7 and pH 8 result in a difference of no more than &lt;0.2% over a pH range of 6 to 9. </t>
    </r>
  </si>
  <si>
    <t>NA</t>
  </si>
  <si>
    <t>normalisation pH</t>
  </si>
  <si>
    <t>PC99</t>
  </si>
  <si>
    <t>PC95</t>
  </si>
  <si>
    <t>PC90</t>
  </si>
  <si>
    <t>PC80</t>
  </si>
  <si>
    <r>
      <t>normalisation temperature (</t>
    </r>
    <r>
      <rPr>
        <b/>
        <sz val="11"/>
        <color theme="1"/>
        <rFont val="Calibri"/>
        <family val="2"/>
      </rPr>
      <t>°C)</t>
    </r>
  </si>
  <si>
    <t>For GVs at different temeratures, renormalise invertebrate toxicity values to 10, 11, 12, 13, 14, 15, 16, 17, 18, 19, 20, 21, 22, 23, 24, 25, 26, 27, 28, 29, 30 degrees C and redo SSDs for each</t>
  </si>
  <si>
    <t>To calculate GVs at different pH and different temperatures</t>
  </si>
  <si>
    <r>
      <t>Total Ammonia normalised using USEPA formula (chronic) with temp. normalisation for invertebrates             pH 7, X°</t>
    </r>
    <r>
      <rPr>
        <b/>
        <sz val="8"/>
        <color rgb="FF000000"/>
        <rFont val="Calibri"/>
        <family val="2"/>
      </rPr>
      <t xml:space="preserve">C </t>
    </r>
    <r>
      <rPr>
        <b/>
        <sz val="10"/>
        <color rgb="FF000000"/>
        <rFont val="Calibri"/>
        <family val="2"/>
      </rPr>
      <t>(mg N/L)</t>
    </r>
  </si>
  <si>
    <r>
      <t>Temperature (</t>
    </r>
    <r>
      <rPr>
        <b/>
        <sz val="10"/>
        <color theme="1"/>
        <rFont val="Calibri"/>
        <family val="2"/>
      </rPr>
      <t>°</t>
    </r>
    <r>
      <rPr>
        <b/>
        <sz val="8"/>
        <color theme="1"/>
        <rFont val="Calibri"/>
        <family val="2"/>
      </rPr>
      <t>)</t>
    </r>
  </si>
  <si>
    <t>10°C</t>
  </si>
  <si>
    <t>11°C</t>
  </si>
  <si>
    <t>12°C</t>
  </si>
  <si>
    <t xml:space="preserve">3. LOWEST VALUE FOR SPECIES. (mg/L) </t>
  </si>
  <si>
    <r>
      <t xml:space="preserve">2. LOWEST VALUE FOR EACH ENDPOINT </t>
    </r>
    <r>
      <rPr>
        <sz val="10"/>
        <color rgb="FF000000"/>
        <rFont val="Calibri"/>
        <family val="2"/>
      </rPr>
      <t xml:space="preserve">(Groupings in Column AF) </t>
    </r>
    <r>
      <rPr>
        <b/>
        <sz val="10"/>
        <color rgb="FF000000"/>
        <rFont val="Calibri"/>
        <family val="2"/>
      </rPr>
      <t>(mg/L)</t>
    </r>
  </si>
  <si>
    <r>
      <t xml:space="preserve">1. GEOMETRIC MEAN FOR EACH COMBINATION OF ENDPOINT AND DURATION </t>
    </r>
    <r>
      <rPr>
        <sz val="10"/>
        <color rgb="FF000000"/>
        <rFont val="Calibri"/>
        <family val="2"/>
      </rPr>
      <t xml:space="preserve">(Groupings in Column AH) </t>
    </r>
    <r>
      <rPr>
        <b/>
        <sz val="10"/>
        <color rgb="FF000000"/>
        <rFont val="Calibri"/>
        <family val="2"/>
      </rPr>
      <t>(mg/L)</t>
    </r>
  </si>
  <si>
    <t>Chronic NEC/EC10/NOEC Concentration (mg/L)</t>
  </si>
  <si>
    <t>NEC/EC10/NOEC Concentration (mg/L)</t>
  </si>
  <si>
    <t>13°C</t>
  </si>
  <si>
    <t>14°C</t>
  </si>
  <si>
    <t>15°C</t>
  </si>
  <si>
    <t>16°C</t>
  </si>
  <si>
    <t>17°C</t>
  </si>
  <si>
    <t>18°C</t>
  </si>
  <si>
    <t>19°C</t>
  </si>
  <si>
    <t>21°C</t>
  </si>
  <si>
    <t>22°C</t>
  </si>
  <si>
    <t>23°C</t>
  </si>
  <si>
    <t>24°C</t>
  </si>
  <si>
    <t>25°C</t>
  </si>
  <si>
    <t>26°C</t>
  </si>
  <si>
    <t>27°C</t>
  </si>
  <si>
    <t>28°C</t>
  </si>
  <si>
    <t>29°C</t>
  </si>
  <si>
    <t>30°C</t>
  </si>
  <si>
    <t>total ammonia (mg N/L)</t>
  </si>
  <si>
    <t>(invertebrate data only)</t>
  </si>
  <si>
    <r>
      <t>Temperature (</t>
    </r>
    <r>
      <rPr>
        <b/>
        <sz val="10"/>
        <color theme="1"/>
        <rFont val="Calibri"/>
        <family val="2"/>
      </rPr>
      <t>°C)</t>
    </r>
  </si>
  <si>
    <r>
      <t>PCx derived from individual SSDs (invertebrate data normalised to 10-30</t>
    </r>
    <r>
      <rPr>
        <b/>
        <u/>
        <sz val="11"/>
        <color theme="1"/>
        <rFont val="Calibri"/>
        <family val="2"/>
      </rPr>
      <t>°C)</t>
    </r>
  </si>
  <si>
    <t>Papers scored</t>
  </si>
  <si>
    <t>Source ID</t>
  </si>
  <si>
    <t>Citation</t>
  </si>
  <si>
    <r>
      <t>Papers scored and passed (</t>
    </r>
    <r>
      <rPr>
        <b/>
        <i/>
        <sz val="11"/>
        <color theme="1"/>
        <rFont val="Calibri"/>
        <family val="2"/>
      </rPr>
      <t xml:space="preserve">≥50%), chronic data with measured ammonia concentrations, pH and temperature measurements </t>
    </r>
  </si>
  <si>
    <t>Aldelman IR, Kusilek LI, Koehle J and Hess J (2009) Acute and chronic toxicity of ammonia, nitrite, and nitrate to the endangered Topeka shiner (Notropis topeka) and Fathead minnows (pimephales promelas). Environmental Toxicology and Chemistry, 28, 2216-2223.</t>
  </si>
  <si>
    <t xml:space="preserve">Borgmann U (1994) Chronic toxicity of ammonia to the amphipod Hyalella azteca; importance of ammonium ion and water hardness. Environmental Pollution, 86, 329-335. </t>
  </si>
  <si>
    <t xml:space="preserve">Brinkman SF, Woodling JD, Vajda AM and Norris DO (2009) Chronic toxicity of ammonia to early life stage rainbow trout. Transactions of the American Fisheries Society, 138, 443-440. </t>
  </si>
  <si>
    <t>Fairchild JF, Allert, A.L., Sappington, L.C. and Waddel B. (2005).Chronic toxicity of un-ionized ammonia to early life-stages of endangered Colorada Pikeminnow (Ptychocheilus lucius) and Razorback Sucker (Xyrauchen texanus) compared to the surrogate fathead minnow (Pimephales promelas) (2005) Archives of Environmental Contamination and Toxicology, 49, 378-384.</t>
  </si>
  <si>
    <t>Manning TM, Wilson SP and Chapman JC (1996) Toxicity of chlorine and other chlorinated compounds to some Australian aquatic organisms. Bulletin of Environmental Contamination and Toxicology, 56, 971-976.</t>
  </si>
  <si>
    <t xml:space="preserve">Harrahy EA, Barman M, Geis S, Hemming J, Karner D and Mager A (2004) Effects of ammonia on the early life stages of Northern Pike (Esox lucius) </t>
  </si>
  <si>
    <t>Hasan MR and MacIntosh DJ (1986) Acute toxicity of ammonia to common carp fry. Aquaculture, 54, 97-107.</t>
  </si>
  <si>
    <t>Meyer JS and Hansen JA (2002) Subchronic toxicity of low dissolved oxygen concentrations, elevated pH, and elevated ammonia concentrations to Lost River Suckers. Transactions of the American Fisheries Society, 131, 656-666.</t>
  </si>
  <si>
    <t>Schuytema GS and Nebeker AV (1999) Comparitive effects of ammonium and nitrate compounds on Pacific Treefrog and African Clawed Frog embryos. Archives of Environmental Contamination and Toxicology, 36, 200-206.</t>
  </si>
  <si>
    <t>Schuytema GS and Nebeker AV (1999) Comparitive toxicity of ammonium and nitrate compounds to Pacific Treefrog and African Clawed Frog tadpoles. Environmental Toxicology and Chemistry, 18, 2251-2257.</t>
  </si>
  <si>
    <t>Hickey, C.W., Golding, L.A., Martin, M.L. and Croker, G.F. (1999) Chronic toxicity of ammonia to New Zealand freshwater invertebrates: a mesocosm study. Archives of Environmental Contamination and Toxicology, 37:338–351.</t>
  </si>
  <si>
    <t>Mooney, T.J., Pease, C., Trenfield, M., van Dam, R. and Harford, A.J. (2018) Modeling the pH-ammonia toxicity relationship for Hydra viridissima in soft waters with low ionic concentrations. Environmental Toxicology and Chemsitry, 37:1189–1196.</t>
  </si>
  <si>
    <t xml:space="preserve">Mooney, T.J., Pease, C., Hogan, A.C., Trenfield, M., Kleinhenz, L.S., Humphrey, C., van Dam, R. and Harford, A.J. (2019) Freshwater chronic ammonia toxicity: a tropical-to-temperate comparison. Environmental Toxicology and Chemistry, 38:177–189 </t>
  </si>
  <si>
    <t>Kleinhenz, L.S., Humphrey, C.L., Mooney, T.J., Trenfield, M., van Dam, R.A., Nugegoda, D. and Harford, A.J. (2018-submitted) Chronic toxicity to juveniles of tropical Australian freshwater mussels, (Velesunio spp.) using optimised toxicity test protocol. Environmental Toxicology and Chemsitry (submitted).</t>
  </si>
  <si>
    <t xml:space="preserve">Alonso A and Camargo JA (2009). Long-Term Effects of Ammonia on the Behavioral Activity of the Aquatic Snail Potamopyrgus antipodarum (Hydrobiidae, Mollusca). Archives of Environmental Contamination and Toxicology, 56(4), 796-802. </t>
  </si>
  <si>
    <t xml:space="preserve">Alonso A and Camargo JA (2011). The freshwater planarian Polycelis felina as a sensitive species to assess the long-term toxicity of ammonia. Chemosphere, 84(5), 533-537. </t>
  </si>
  <si>
    <t>Broderius S, Drummond R, Fiandt J and Russom C (1985). Toxicity of ammonia to early life stages of the smallmouth bass at four pH values. Environmental Toxicology and Chemistry, 4(1), 87-96.</t>
  </si>
  <si>
    <t xml:space="preserve">Burkhalter DE and Kaya CM (1977). Effects of prolonged exposure to ammonia on fertilised eggs and sac fry of Rainbow trout (Salmo gairdneri). Transactions of the American Fisheries Society, 106(5), 470-475. </t>
  </si>
  <si>
    <t xml:space="preserve">Colt J and Tchobanoglous G (1978). Chronic exposure of channel catfish, Ictalurus punctatus, to ammonia: Effects on growth and survival. Aquaculture, 15(4), 353-372. </t>
  </si>
  <si>
    <t xml:space="preserve">Gersich FM and Hopkins DL (1986). Site-specific acute and chronic toxicity of ammonia to Daphnia magna Straus. Environmental Toxicology and Chemistry, 5, 443-447. </t>
  </si>
  <si>
    <t xml:space="preserve">DUPLICATE REF Burkhalter DE and Kaya CM (1977). Effects of prolonged exposure to ammonia on fertilised eggs and sac fry of Rainbow trout (Salmo gairdneri). Transactions of the American Fisheries Society, 106(5), 470-475. </t>
  </si>
  <si>
    <t xml:space="preserve">Hickey CW and Martin ML (1999). Chronic toxicity of ammonia to the freshwater bivalve Sphaerium novaezelandiae. Archives of Environmental Contamination and Toxicology, 36(1), 38-46.  </t>
  </si>
  <si>
    <t xml:space="preserve">Mayes MA, Alexander HC, Hopkins DL and Latvaitis PB (1986). Acute and chronic toxicity of ammonia to freshwater fish: A site-specific study. Environmental Toxicology and Chemistry, 5(5), 437-442. </t>
  </si>
  <si>
    <t xml:space="preserve">McCormick JH, Broderius SJ and Fiandt JT (1984). Toxicity of ammonia to early life stages of the green sunfish Lepomis cyanellus. Environmental Pollution. Series A, Ecological and Biological, 36(2), 147-163. </t>
  </si>
  <si>
    <t xml:space="preserve">Nimmo DWR, Link D, Parrish LP, Rodriguez GJ, Wuerthele W and Davies PH (1989). Comparison of on-site and laboratory toxicity tests: Derivation of site-specific criteria for un-ionized ammonia in a colorado transitional stream. Environmental Toxicology and Chemistry, 8(12), 1177-1189. </t>
  </si>
  <si>
    <t xml:space="preserve">Swigert JP and Spacie A (1983). Survival and growth of warmwater fishes exposed to ammonia under low flow conditions. National Technical Information Services, Springfield, VA PB83-257535. </t>
  </si>
  <si>
    <t xml:space="preserve">Thurston RV, Russo RC, Meyn EL, R.K Z and C.E. S (1986). Chronic toxicity of ammonia to fatheads minnows. Transactions of the American Fisheries Society, 115(2), 196-207. </t>
  </si>
  <si>
    <t xml:space="preserve">Thurston RV, Russo RC and Smith CE (1978). Acute toxicity of ammonia and nitrite to Cutthroat trout fry. Transactions of the American Fisheries Society, 107(2), 361-368. </t>
  </si>
  <si>
    <t xml:space="preserve">Wang Z and Leung KMY (2015). Effects of unionised ammonia on tropical freshwater organisms: Implications on temperate-to-tropic extrapolation and water quality guidelines. Environmental Pollution, 205, 240-249. </t>
  </si>
  <si>
    <t xml:space="preserve">Yang W, Xiang FH, Sun HJ, Chen YF, Minter E and Yang Z (2010). Changes in the selected hematological parameters and gill Na+/K+ ATPase activity of juvenile crucian carp Carassius auratus during elevated ammonia exposure and the post-exposure recovery. Biochemical Systematics and Ecology, 38(4), 557-562. </t>
  </si>
  <si>
    <t xml:space="preserve">Thurston RV and Russo RC (1983). Acute toxicity of ammonia to rainbow trout. Transactions of the American Fisheries Society, 112(5), 696-704. </t>
  </si>
  <si>
    <t xml:space="preserve">Wang N, Consbrock RA, Ingersoll CG and Barnhart MC (2011). Evaluation of influence of sediment on the sensitivity of a unionid mussel (Lampsilis siliquoidea) to ammonia in 28-day water exposures. Environmental Toxicology and Chemistry, 30(10), 2270-2276. </t>
  </si>
  <si>
    <t xml:space="preserve">Wang N, Ingersoll CG, Greer IE, Hardesty DK, Ivey CD, Kunz JL, Brumbaugh WG, Dwyer EJ, Roberts AD, Augspurger T, Kane CM, Neves RJ and Barnhart MC (2007). Chronic toxicity of copper and ammonia to juvenile freshwater mussels (Unionidae). Environmental Toxicology and Chemistry, 26(10), 2048-2056. </t>
  </si>
  <si>
    <t xml:space="preserve">Sparks RE and Sandusky MJ (1981). Identification of factors responsible for decreased production of fish food organisms in the Illinois and Mississippi Rivers. Final report for project no. 3-291-R. Illinois Natural History Survey, River Research Laboratory, Havana, IL. </t>
  </si>
  <si>
    <t>Papers scored but failed QA (score &lt;50%), or alternative quality chronic data was available</t>
  </si>
  <si>
    <t>Calamari D, Marchetti R and Vailati G (1981) Effects of long-term exposure to ammonia on the developmental stages of Rainbow Trout (Salmo gairdneri Richardson) Rapports et proces-verbaux des reunions / Conseil International pour I'Exploration de la Mer, 178, 81-86.</t>
  </si>
  <si>
    <t xml:space="preserve">Robinette HR (1976). Effect of selected sublethal levels of ammonia on the growth of channel catfish (Ictalurus punctatus). The Progressive Fish-Culturist, 38(1), 26-29. </t>
  </si>
  <si>
    <t>Postma JF, de Valk S, Dubbeldam M, Maas JL, Tonkes M, Schipper CA and Kater BJ (2002). Confounding factors in bioassays with freshwater and marine organisms. Ecotoxicology and Environmental Safety, 53(2), 226-237.</t>
  </si>
  <si>
    <t xml:space="preserve">Calculating % un-ionised ammonia and concentrations of un-ionised ammonia concentrations </t>
  </si>
  <si>
    <t>Enter data here; value as it is reported in the paper</t>
  </si>
  <si>
    <t>Un-ionised ammonia concentrations calcuated from reported temperature, pH and total ammonia concentration</t>
  </si>
  <si>
    <t xml:space="preserve">As above, 95% confidence limits </t>
  </si>
  <si>
    <t>Values were calculated from the reported un-ionised ammonia value (unit change between NH3 and N)</t>
  </si>
  <si>
    <r>
      <t>Final un-ionised ammonia concentration (µg NH</t>
    </r>
    <r>
      <rPr>
        <vertAlign val="subscript"/>
        <sz val="11"/>
        <color theme="1"/>
        <rFont val="Calibri"/>
        <family val="2"/>
        <scheme val="minor"/>
      </rPr>
      <t>3</t>
    </r>
    <r>
      <rPr>
        <sz val="11"/>
        <color theme="1"/>
        <rFont val="Calibri"/>
        <family val="2"/>
        <scheme val="minor"/>
      </rPr>
      <t>-N/L)</t>
    </r>
  </si>
  <si>
    <r>
      <rPr>
        <b/>
        <sz val="11"/>
        <color theme="1"/>
        <rFont val="Calibri"/>
        <family val="2"/>
        <scheme val="minor"/>
      </rPr>
      <t>CL</t>
    </r>
    <r>
      <rPr>
        <sz val="11"/>
        <color theme="1"/>
        <rFont val="Calibri"/>
        <family val="2"/>
        <scheme val="minor"/>
      </rPr>
      <t xml:space="preserve"> = 95% confidence limit</t>
    </r>
  </si>
  <si>
    <r>
      <rPr>
        <b/>
        <sz val="11"/>
        <color theme="1"/>
        <rFont val="Calibri"/>
        <family val="2"/>
        <scheme val="minor"/>
      </rPr>
      <t>R</t>
    </r>
    <r>
      <rPr>
        <sz val="11"/>
        <color theme="1"/>
        <rFont val="Calibri"/>
        <family val="2"/>
        <scheme val="minor"/>
      </rPr>
      <t xml:space="preserve"> = concentration reported in the paper as µg N/L (or reported as µg NH3/L and corrected to units of µg N/L)</t>
    </r>
  </si>
  <si>
    <r>
      <rPr>
        <b/>
        <sz val="11"/>
        <color theme="1"/>
        <rFont val="Calibri"/>
        <family val="2"/>
        <scheme val="minor"/>
      </rPr>
      <t>C</t>
    </r>
    <r>
      <rPr>
        <sz val="11"/>
        <color theme="1"/>
        <rFont val="Calibri"/>
        <family val="2"/>
        <scheme val="minor"/>
      </rPr>
      <t xml:space="preserve"> = concentration calculated from reported total ammonia concentration, temperature and pH  </t>
    </r>
  </si>
  <si>
    <r>
      <rPr>
        <b/>
        <sz val="11"/>
        <color theme="1"/>
        <rFont val="Calibri"/>
        <family val="2"/>
        <scheme val="minor"/>
      </rPr>
      <t>DVG</t>
    </r>
    <r>
      <rPr>
        <sz val="11"/>
        <color theme="1"/>
        <rFont val="Calibri"/>
        <family val="2"/>
        <scheme val="minor"/>
      </rPr>
      <t xml:space="preserve"> = Default Guideline Value</t>
    </r>
  </si>
  <si>
    <r>
      <rPr>
        <b/>
        <sz val="11"/>
        <color theme="1"/>
        <rFont val="Calibri"/>
        <family val="2"/>
        <scheme val="minor"/>
      </rPr>
      <t>R or C</t>
    </r>
    <r>
      <rPr>
        <sz val="11"/>
        <color theme="1"/>
        <rFont val="Calibri"/>
        <family val="2"/>
        <scheme val="minor"/>
      </rPr>
      <t xml:space="preserve"> = Some differences between the reported and calcualtefd un-ionised ammonia concentration may be observed. This could be due to the authors' use of specific pH and temperature values in each treatment to calculate un-ionised ammonia concentration, and not the average pH and temperature values reported in the study. If the calculated un-ionised ammonia concentration is within a factor of approximately 2, the reported value has been used in the derivation of the DGV (and in Attachment G data set). If the difference is a factor of 3 or more, the calculated un-ionised ammonia concentrations were used in the DGV (Att G data set). This occured for ref#228 (differred by a factor of ~5), hence the reported un-ionised ammonia concentrations were unreliable. </t>
    </r>
  </si>
  <si>
    <r>
      <t>Toxicity values that passed (</t>
    </r>
    <r>
      <rPr>
        <sz val="11"/>
        <color theme="1"/>
        <rFont val="Calibri"/>
        <family val="2"/>
      </rPr>
      <t>≥</t>
    </r>
    <r>
      <rPr>
        <sz val="8.8000000000000007"/>
        <color theme="1"/>
        <rFont val="Calibri"/>
        <family val="2"/>
      </rPr>
      <t xml:space="preserve">50%) </t>
    </r>
    <r>
      <rPr>
        <u/>
        <sz val="8.8000000000000007"/>
        <color theme="1"/>
        <rFont val="Calibri"/>
        <family val="2"/>
      </rPr>
      <t xml:space="preserve">and </t>
    </r>
    <r>
      <rPr>
        <sz val="8.8000000000000007"/>
        <color theme="1"/>
        <rFont val="Calibri"/>
        <family val="2"/>
      </rPr>
      <t>collated in Attachment G for guideline derivation</t>
    </r>
  </si>
  <si>
    <t>Un-ionised ammonia concentration</t>
  </si>
  <si>
    <t>Reported Total Ammonia</t>
  </si>
  <si>
    <t>Calculated un-ionised ammonia</t>
  </si>
  <si>
    <t xml:space="preserve">Reported un-ionised </t>
  </si>
  <si>
    <t xml:space="preserve">% Difference </t>
  </si>
  <si>
    <t>Toxicity value used in data set</t>
  </si>
  <si>
    <t>Temperature</t>
  </si>
  <si>
    <t>Reference</t>
  </si>
  <si>
    <t>(mg N/L)</t>
  </si>
  <si>
    <t>(based on reported total ammonia, temperature and pH)</t>
  </si>
  <si>
    <t>ammonia</t>
  </si>
  <si>
    <r>
      <t xml:space="preserve">C </t>
    </r>
    <r>
      <rPr>
        <b/>
        <sz val="11"/>
        <color theme="1"/>
        <rFont val="Calibri"/>
        <family val="2"/>
      </rPr>
      <t>÷</t>
    </r>
    <r>
      <rPr>
        <b/>
        <sz val="11"/>
        <color theme="1"/>
        <rFont val="Calibri"/>
        <family val="2"/>
        <scheme val="minor"/>
      </rPr>
      <t xml:space="preserve"> R (%)</t>
    </r>
  </si>
  <si>
    <t>(µg N/L)</t>
  </si>
  <si>
    <r>
      <t>(</t>
    </r>
    <r>
      <rPr>
        <b/>
        <sz val="11"/>
        <color theme="1"/>
        <rFont val="Calibri"/>
        <family val="2"/>
      </rPr>
      <t>°C)</t>
    </r>
  </si>
  <si>
    <r>
      <t>(K</t>
    </r>
    <r>
      <rPr>
        <b/>
        <sz val="11"/>
        <color theme="1"/>
        <rFont val="Calibri"/>
        <family val="2"/>
      </rPr>
      <t>)</t>
    </r>
  </si>
  <si>
    <t>pKa</t>
  </si>
  <si>
    <t>ƒ</t>
  </si>
  <si>
    <t>% un-ionised</t>
  </si>
  <si>
    <t>No.</t>
  </si>
  <si>
    <t>Reference; species, test information</t>
  </si>
  <si>
    <t>Parameter</t>
  </si>
  <si>
    <t>Value</t>
  </si>
  <si>
    <t>CL-Low</t>
  </si>
  <si>
    <t>CL-High</t>
  </si>
  <si>
    <r>
      <t>µg NH</t>
    </r>
    <r>
      <rPr>
        <b/>
        <vertAlign val="subscript"/>
        <sz val="11"/>
        <color theme="1"/>
        <rFont val="Calibri"/>
        <family val="2"/>
        <scheme val="minor"/>
      </rPr>
      <t>3</t>
    </r>
    <r>
      <rPr>
        <b/>
        <sz val="11"/>
        <color theme="1"/>
        <rFont val="Calibri"/>
        <family val="2"/>
        <scheme val="minor"/>
      </rPr>
      <t>/L</t>
    </r>
  </si>
  <si>
    <t>µg N/L</t>
  </si>
  <si>
    <r>
      <t xml:space="preserve">µg </t>
    </r>
    <r>
      <rPr>
        <b/>
        <sz val="11"/>
        <color theme="1"/>
        <rFont val="Calibri"/>
        <family val="2"/>
        <scheme val="minor"/>
      </rPr>
      <t>N/L</t>
    </r>
  </si>
  <si>
    <r>
      <t>µg NH</t>
    </r>
    <r>
      <rPr>
        <b/>
        <vertAlign val="subscript"/>
        <sz val="11"/>
        <color theme="1"/>
        <rFont val="Calibri"/>
        <family val="2"/>
        <scheme val="minor"/>
      </rPr>
      <t>3</t>
    </r>
    <r>
      <rPr>
        <b/>
        <sz val="11"/>
        <color theme="1"/>
        <rFont val="Calibri"/>
        <family val="2"/>
        <scheme val="minor"/>
      </rPr>
      <t>-N/L</t>
    </r>
  </si>
  <si>
    <t>R or C</t>
  </si>
  <si>
    <t>Adelman et al (2009); N. topeka Adult survival</t>
  </si>
  <si>
    <t>R</t>
  </si>
  <si>
    <t>calculated unionised N different to report un-ionised N (~30%)</t>
  </si>
  <si>
    <t>Adelman et al (2009); N. topeka juvenile survival</t>
  </si>
  <si>
    <t>Adelman et al (2009); P. promelas juvenile survival</t>
  </si>
  <si>
    <t>Adelman et al (2009); P. promelas embryo survival (and survival)</t>
  </si>
  <si>
    <t>Borgmann (1994); H. azteca, reproduction - young 10wk</t>
  </si>
  <si>
    <t>C</t>
  </si>
  <si>
    <t>Borgmann (1994); H. azteca, reproduction - adult 6 wk</t>
  </si>
  <si>
    <t>Borgmann (1994); H. azteca, survival - young 10 wk</t>
  </si>
  <si>
    <t>Borgmann (1994); H. azteca, survival - adult 6 wk</t>
  </si>
  <si>
    <t>Borgmann (1994); H. azteca, survival - young 4 wk</t>
  </si>
  <si>
    <t>Brinkman (2009); O. mykiss survival</t>
  </si>
  <si>
    <t>Brinkman (2009); O. mykiss Weight</t>
  </si>
  <si>
    <t>Brinkman (2009); O. mykiss Weight (combined weight of surviving fish)</t>
  </si>
  <si>
    <t>Brinkman (2009); O. mykiss Length</t>
  </si>
  <si>
    <t>Fairchild et al (2005); values only reported as un-ionised ammonia (mg N/L) based on calculations of Emerson et al (1975) and pH and temperature in individual treatments/beakers and not the average pH and temperature reported on the left</t>
  </si>
  <si>
    <t>Fairchild et al (2005); P. promelas 21-d survival NOEC</t>
  </si>
  <si>
    <t>Fairchild et al (2005); P. promelas 28-d survival NOEC</t>
  </si>
  <si>
    <t>Fairchild et al (2005); P. promelas 28-d survival LC20</t>
  </si>
  <si>
    <t>Fairchild et al (2005); P. promelas 28-d growth (weight) NOEC</t>
  </si>
  <si>
    <t>Fairchild et al (2005); P. promelas 21-d survival LC50</t>
  </si>
  <si>
    <t>Fairchild et al (2005); P. promelas 28-d survival LC50</t>
  </si>
  <si>
    <t>Fairchild et al (2005); P. promelas 28-d survival LC1</t>
  </si>
  <si>
    <t xml:space="preserve">Manning et al (1996); C. dubia (Australian isolate) </t>
  </si>
  <si>
    <r>
      <t>51 mg NH</t>
    </r>
    <r>
      <rPr>
        <vertAlign val="subscript"/>
        <sz val="11"/>
        <color theme="1"/>
        <rFont val="Calibri"/>
        <family val="2"/>
        <scheme val="minor"/>
      </rPr>
      <t>3</t>
    </r>
    <r>
      <rPr>
        <sz val="11"/>
        <color theme="1"/>
        <rFont val="Calibri"/>
        <family val="2"/>
        <scheme val="minor"/>
      </rPr>
      <t>/L (highest concentration tested)</t>
    </r>
  </si>
  <si>
    <t>above value recalculated to mg N/L</t>
  </si>
  <si>
    <t>225-1</t>
  </si>
  <si>
    <t>Harrahy et al (2004); E.lucius  hatching success</t>
  </si>
  <si>
    <t>≥62.7</t>
  </si>
  <si>
    <t>value not used (≥500)</t>
  </si>
  <si>
    <t>values not used (≥412)</t>
  </si>
  <si>
    <t>Harrahy et al (2004); E.lucius mortality</t>
  </si>
  <si>
    <t>Harrahy et al (2004); E.lucius mean weight</t>
  </si>
  <si>
    <t>225-7</t>
  </si>
  <si>
    <t>Harrahy et al (2004); E.lucius mean biomass</t>
  </si>
  <si>
    <t>≥15.1</t>
  </si>
  <si>
    <t>value not used (≥120)</t>
  </si>
  <si>
    <t>values not used (≥99)</t>
  </si>
  <si>
    <t>Hansan and MacIntosh (1986); C. carpio test 1</t>
  </si>
  <si>
    <t>Hansan and MacIntosh (1986); C. carpio test 2</t>
  </si>
  <si>
    <t>Meyer and Hansen (2002); D. luxatus survival</t>
  </si>
  <si>
    <t xml:space="preserve">Schuytema GS and Nebeker AV (1999); P. regilla (NH4NO3) </t>
  </si>
  <si>
    <t>also refer to data set for ref 229)</t>
  </si>
  <si>
    <t xml:space="preserve">Schuytema GS and Nebeker AV (1999); P. regilla (NH4Cl) </t>
  </si>
  <si>
    <t xml:space="preserve">Schuytema GS and Nebeker AV (1999); P. regilla (NH4SO4) </t>
  </si>
  <si>
    <t>Schuytema GS and Nebeker AV (1999); tadpole P. regilla (HN4NO3)</t>
  </si>
  <si>
    <t>also refer to data set for ref 228</t>
  </si>
  <si>
    <t>Schuytema GS and Nebeker AV (1999); tadpole X. laevis (HN4NO3)</t>
  </si>
  <si>
    <t xml:space="preserve">the reported un-ionised ammonia concentrations do not correspond with expected values based on the measured total ammonia concentrations. </t>
  </si>
  <si>
    <t>Schuytema GS and Nebeker AV (1999); tadpole P. regilla (HN4SO4)</t>
  </si>
  <si>
    <t>un-ionised ammonia calculated using the mean pH for the experiment (but only a range of mean pH values were quoted in the text)</t>
  </si>
  <si>
    <t>Schuytema GS and Nebeker AV (1999); tadpole X. laevis (HN4SO4)</t>
  </si>
  <si>
    <t>Schuytema GS and Nebeker AV (1999); tadpole X. laevis (HN4CL)</t>
  </si>
  <si>
    <t>Schuytema GS and Nebeker AV (1999); tadpole P. regilla (HN4NO3) length and weight</t>
  </si>
  <si>
    <t>Schuytema GS and Nebeker AV (1999); tadpole X. laevis (HN4NO3) length and weight</t>
  </si>
  <si>
    <t>Schuytema GS and Nebeker AV (1999); tadpole P. regilla (HN4SO4) length</t>
  </si>
  <si>
    <t>Schuytema GS and Nebeker AV (1999); tadpole P. regilla (HN4SO4) weight</t>
  </si>
  <si>
    <t>Schuytema GS and Nebeker AV (1999); tadpole X. laevis (HN4SO4) length and weight</t>
  </si>
  <si>
    <t>Schuytema GS and Nebeker AV (1999); tadpole X. laevis (HN4CL) length and weight</t>
  </si>
  <si>
    <t>Hickey et al (1999); Deleatidium sp. Mesocosm study</t>
  </si>
  <si>
    <t>232-1</t>
  </si>
  <si>
    <t xml:space="preserve">Mooney et al (2018); Hydra pH 6 </t>
  </si>
  <si>
    <t>232-2</t>
  </si>
  <si>
    <t xml:space="preserve">Mooney et al (2018); Hydra pH 6.6 </t>
  </si>
  <si>
    <t>232-3</t>
  </si>
  <si>
    <t>Mooney et al (2018); Hydra pH 7.0</t>
  </si>
  <si>
    <t>232-4</t>
  </si>
  <si>
    <t>Mooney et al (2018); Hydra pH 7.5</t>
  </si>
  <si>
    <t>232-5</t>
  </si>
  <si>
    <t>Mooney et al (2018); Hydra pH 7.8</t>
  </si>
  <si>
    <t>232-6</t>
  </si>
  <si>
    <t xml:space="preserve">Mooney et al (2018); Hydra pH 8.1 </t>
  </si>
  <si>
    <t>233-1</t>
  </si>
  <si>
    <t>Mooney et al (2018, accepted); Chlorella sp. Test</t>
  </si>
  <si>
    <t>233-2</t>
  </si>
  <si>
    <t>Mooney et al (2018, accepted); Lemna aequinoctialis Test</t>
  </si>
  <si>
    <t>233-3</t>
  </si>
  <si>
    <t>Mooney et al (2018, accepted); Hydra viridissma Test</t>
  </si>
  <si>
    <t>233-4</t>
  </si>
  <si>
    <t>Mooney et al (2018, accepted); Moinodaphnia macleayi (daphnia) Test</t>
  </si>
  <si>
    <t>233-5</t>
  </si>
  <si>
    <t>Mooney et al (2018, accepted); Amerianna cumingi (snail) Test (4 d)</t>
  </si>
  <si>
    <t>233-6</t>
  </si>
  <si>
    <t>Mooney et al (2018, accepted); Amerianna cumingi (snail) Test (9 d)</t>
  </si>
  <si>
    <t>223-7</t>
  </si>
  <si>
    <t>Mooney et al (2018, accepted); Amerianna cumingi (snail) Test 14-d)</t>
  </si>
  <si>
    <t>223-8</t>
  </si>
  <si>
    <t>Mooney et al (2018, accepted); Mogurnda modurnda (fish) Test</t>
  </si>
  <si>
    <t>234-1</t>
  </si>
  <si>
    <t>Kleinhenz et al (2018, submitted); Velesunio sp. (Gulungul Ck)</t>
  </si>
  <si>
    <t>234-2</t>
  </si>
  <si>
    <t>Kleinhenz et al (2018, submitted); Velesunio angasi (Sandy Billabong)</t>
  </si>
  <si>
    <t>234-3</t>
  </si>
  <si>
    <t>Kleinhenz et al (2018, submitted); Velesunio angasi (Lake Bennett)</t>
  </si>
  <si>
    <t xml:space="preserve">Alonso and Camargo (2009); P. antipodarum immobility </t>
  </si>
  <si>
    <t xml:space="preserve">Alonso and Camargo (2011); P. felina </t>
  </si>
  <si>
    <t>Broderius et al (1985); mortality pH 8.68, 7-d</t>
  </si>
  <si>
    <t>A bit of a difference between the reported and calculated un-ionised ammonia, paper states that un-ionised was calcuated based on average pH in the treatment, not the average pH across all treatments (for which data was presented)</t>
  </si>
  <si>
    <t xml:space="preserve">Broderius et al (1985); mortality, pH 6.60, 14-d </t>
  </si>
  <si>
    <t xml:space="preserve">Broderius et al (1985); mortality, pH 7.25, 14-d </t>
  </si>
  <si>
    <t>Broderius et al (1985); mortality, pH 8.86, 14-d</t>
  </si>
  <si>
    <t xml:space="preserve">Broderius et al (1985); mortality, pH 6.60, 32-d </t>
  </si>
  <si>
    <t xml:space="preserve">Broderius et al (1985); mortality, pH 7.25, 32-d </t>
  </si>
  <si>
    <t>Broderius et al (1985); mortality, pH 7.83, 32-d</t>
  </si>
  <si>
    <t xml:space="preserve">Broderius et al (1985); mortality, pH 8.68, 32-d </t>
  </si>
  <si>
    <t xml:space="preserve">Broderius et al (1985); Length pH 6.60, 32-d </t>
  </si>
  <si>
    <t xml:space="preserve">Broderius et al (1985); Length pH 7.25, 32-d </t>
  </si>
  <si>
    <t xml:space="preserve">Broderius et al (1985); Length pH 7.83, 32-d </t>
  </si>
  <si>
    <t xml:space="preserve">Broderius et al (1985); Length pH 8.68, 32-d </t>
  </si>
  <si>
    <t xml:space="preserve">Broderius et al (1985); Weight pH 6.60, 32-d </t>
  </si>
  <si>
    <t xml:space="preserve">Broderius et al (1985); Weight pH 7.25, 32-d </t>
  </si>
  <si>
    <t xml:space="preserve">Broderius et al (1985); Weight pH 7.83, 32-d </t>
  </si>
  <si>
    <t xml:space="preserve">Broderius et al (1985); Weight pH 8.68, 32-d </t>
  </si>
  <si>
    <t>Burkhalter and Kaya (1977); O. mykiss, 21-d length</t>
  </si>
  <si>
    <t>&lt;61</t>
  </si>
  <si>
    <t>Burkhalter and Kaya (1977); O. mykiss, 35-d length</t>
  </si>
  <si>
    <t>Burkhalter and Kaya (1977); O. mykiss, 42-d length</t>
  </si>
  <si>
    <t>Burkhalter and Kaya (1977); O. mykiss, 21-d mortality</t>
  </si>
  <si>
    <t>Colt and Tchobanoglous (1978); I. punctatus mortality</t>
  </si>
  <si>
    <t>Colt and Tchobanoglous (1978); I. punctatus wet weight</t>
  </si>
  <si>
    <t>&lt;58</t>
  </si>
  <si>
    <t>Colt and Tchobanoglous (1978); I. punctatus dry weight</t>
  </si>
  <si>
    <t>Gersich and Hopkins (1986); D. magna, reproduction</t>
  </si>
  <si>
    <t>Gersich and Hopkins (1986); D. magna, Mean total young/daphnid</t>
  </si>
  <si>
    <t>Gersich and Hopkins (1986); D. magna, Mean total no of broods/daphnid</t>
  </si>
  <si>
    <t>Gersich and Hopkins (1986); D. magna, Mean brood size/daphnid</t>
  </si>
  <si>
    <t>Gersich and Hopkins (1986); D. magna, survival</t>
  </si>
  <si>
    <t>Hickey and Martin (1999); S. novaezelandiae 60-d mortality</t>
  </si>
  <si>
    <t>pH over the 30- and 60-d exposure varied considerable and specific pH values used to convert total ammonia to un-ionised ammonia were not specificed, therefore, calcualtions shown here are likely to differ from the un-ionised ammonia concentrations reported</t>
  </si>
  <si>
    <t>Hickey and Martin (1999); S. novaezelandiae 30-d mortality</t>
  </si>
  <si>
    <t>Hickey and Martin (1999); S. novaezelandiae 60-d reproduction</t>
  </si>
  <si>
    <t xml:space="preserve">Hickey and Martin (1999); S. novaezelandiae 60-d growth </t>
  </si>
  <si>
    <t>Mayes et al (1986); P. promelas, 31-d survival</t>
  </si>
  <si>
    <t xml:space="preserve">un-ionised ammonai concentrations calculated by the authors using specific pH from each treatment (only ranges reported in paper, therefore assumed average fro calcualtions shown here) </t>
  </si>
  <si>
    <t>Mayes et al (1986); P. promelas, 31-d larval development</t>
  </si>
  <si>
    <t>Mayes et al (1986); P. promelas, 31-d biomass weight</t>
  </si>
  <si>
    <t>McCormick et al (1984); L. cyanellus 44-d biomass (weight)</t>
  </si>
  <si>
    <t>Mimmo et al (1989); C. dubia reproduction</t>
  </si>
  <si>
    <t>Swigert and Spacie (1983); P. promelas biomass (wet weight)</t>
  </si>
  <si>
    <t>use reported un-ionised ammonia (N)</t>
  </si>
  <si>
    <t xml:space="preserve">Swigert and Spacie (1983); I. punctatus biomas (wet weight) </t>
  </si>
  <si>
    <t>Thurston et al (1986); P. promelas, development (larvae to egg hatching, full life cycle)</t>
  </si>
  <si>
    <t xml:space="preserve">Thurston et al (1986); P. promelas, growth 30 d </t>
  </si>
  <si>
    <t xml:space="preserve">Thurston et al (1986); P. promelas, mortality 60 d </t>
  </si>
  <si>
    <t>Thurston et al (1978); O. clarkii, mortality 29 d fry 1g test 1</t>
  </si>
  <si>
    <t>Thurston et al (1978); O. clarkii, mortality 29 d fry 1g test 2</t>
  </si>
  <si>
    <t>Thurston et al (1978); O. clarkii, mortality 29 d fry 3g test 1</t>
  </si>
  <si>
    <t>Thurston et al (1978); O. clarkii, mortality 29 d fry 3g test 2</t>
  </si>
  <si>
    <t>Thurston et al (1978); O. clarkii, mortality 36 d fry 1g test 1</t>
  </si>
  <si>
    <t>Thurston et al (1978); O. clarkii, mortality 36 d fry 1g test 2</t>
  </si>
  <si>
    <t>Wang and Leung (2015); C. vulgaris, growth rate</t>
  </si>
  <si>
    <t>Wang and Leung (2015); P. subcapitata, growth rate</t>
  </si>
  <si>
    <t>251-1</t>
  </si>
  <si>
    <t>Yang et al (2010); C. auratus, growth</t>
  </si>
  <si>
    <t>Thurston and Russo (1983); O. mykiss Test 132</t>
  </si>
  <si>
    <t>Thurston and Russo (1983); O. mykiss Test 133</t>
  </si>
  <si>
    <t>Wang et al (2011); L. siliquoidea, survival (and length, biomass, wet weight)</t>
  </si>
  <si>
    <t>Report calcualted un-ionised ammonia µg N/L</t>
  </si>
  <si>
    <t>Wang et al (2011); L. siliquoidea, survival</t>
  </si>
  <si>
    <t>Wang et al (2007); V.iris, mortality</t>
  </si>
  <si>
    <t>Wang et al (2007); V.iris, growth (length)</t>
  </si>
  <si>
    <t>&lt;28.7</t>
  </si>
  <si>
    <t>&lt;23.6</t>
  </si>
  <si>
    <t>Wang et al (2007); L. siliquoidea, mortality</t>
  </si>
  <si>
    <t>&lt;9.3</t>
  </si>
  <si>
    <t>&lt;7.67</t>
  </si>
  <si>
    <t>Wang et al (2007); L. siliquoidea, growth (length)</t>
  </si>
  <si>
    <t>Wang et al (2007); L. fasciola, mortality</t>
  </si>
  <si>
    <t>&lt;9.32</t>
  </si>
  <si>
    <t>Wang et al (2007); L. fasciola, growth (length)</t>
  </si>
  <si>
    <t>Sparks and Sandusky (1981); M transversum 6 wk mortality</t>
  </si>
  <si>
    <t>% un-ionised at pH 7 (20 degrees C)</t>
  </si>
  <si>
    <t>% un-ionised at pH 8 (20 degrees C)</t>
  </si>
  <si>
    <t>Ref 247</t>
  </si>
  <si>
    <t>I. punctatus (ref 247-14)</t>
  </si>
  <si>
    <t>P. promelas (ref 247-12)</t>
  </si>
  <si>
    <t xml:space="preserve">pH </t>
  </si>
  <si>
    <t>temp</t>
  </si>
  <si>
    <t>N</t>
  </si>
  <si>
    <t>min</t>
  </si>
  <si>
    <t>max</t>
  </si>
  <si>
    <t>avg</t>
  </si>
  <si>
    <t>Table: % unionised ammonia</t>
  </si>
  <si>
    <r>
      <t>Temperature (</t>
    </r>
    <r>
      <rPr>
        <sz val="11"/>
        <color theme="1"/>
        <rFont val="Calibri"/>
        <family val="2"/>
      </rPr>
      <t>°C)</t>
    </r>
  </si>
  <si>
    <t>4 sig figs</t>
  </si>
  <si>
    <r>
      <t>Temp. (</t>
    </r>
    <r>
      <rPr>
        <b/>
        <sz val="11"/>
        <color theme="1"/>
        <rFont val="Calibri"/>
        <family val="2"/>
      </rPr>
      <t>°C)</t>
    </r>
  </si>
  <si>
    <t>Note: these values differ slightly to ANZECC/ARMCANZ due to use of temperature conversion of 273.15 instead of 273.2 used in Emerson et al (1975) and ANZECC/ARMCANZ WQGs</t>
  </si>
  <si>
    <t>Conductivity (µS/cm)</t>
  </si>
  <si>
    <r>
      <t>Hardness (mg/L CaCO</t>
    </r>
    <r>
      <rPr>
        <b/>
        <vertAlign val="subscript"/>
        <sz val="10"/>
        <color rgb="FF000000"/>
        <rFont val="Calibri"/>
        <family val="2"/>
      </rPr>
      <t>3</t>
    </r>
    <r>
      <rPr>
        <b/>
        <sz val="10"/>
        <color rgb="FF000000"/>
        <rFont val="Calibri"/>
        <family val="2"/>
      </rPr>
      <t>)</t>
    </r>
  </si>
  <si>
    <t>Use CVpH7 formula to normalise all toxicity values to pH7, then normalise all invertebrate (not vertebrates or plants) to a temperature of 20 degrees C</t>
  </si>
  <si>
    <r>
      <t>660</t>
    </r>
    <r>
      <rPr>
        <sz val="10"/>
        <color theme="1"/>
        <rFont val="Calibri"/>
        <family val="2"/>
      </rPr>
      <t>−27,400</t>
    </r>
  </si>
  <si>
    <r>
      <t>579</t>
    </r>
    <r>
      <rPr>
        <sz val="10"/>
        <color theme="1"/>
        <rFont val="Calibri"/>
        <family val="2"/>
      </rPr>
      <t>−23,500</t>
    </r>
  </si>
  <si>
    <t>Conductivity at closest treatment to Toxicity Value</t>
  </si>
  <si>
    <t>Ammonia Salt</t>
  </si>
  <si>
    <r>
      <t>NH</t>
    </r>
    <r>
      <rPr>
        <vertAlign val="subscript"/>
        <sz val="10"/>
        <color theme="1"/>
        <rFont val="Calibri"/>
        <family val="2"/>
        <scheme val="minor"/>
      </rPr>
      <t>4</t>
    </r>
    <r>
      <rPr>
        <sz val="10"/>
        <color theme="1"/>
        <rFont val="Calibri"/>
        <family val="2"/>
        <scheme val="minor"/>
      </rPr>
      <t>Cl</t>
    </r>
  </si>
  <si>
    <r>
      <t xml:space="preserve">734 </t>
    </r>
    <r>
      <rPr>
        <sz val="10"/>
        <color theme="1"/>
        <rFont val="Calibri"/>
        <family val="2"/>
      </rPr>
      <t>± 12</t>
    </r>
    <r>
      <rPr>
        <sz val="10"/>
        <color theme="1"/>
        <rFont val="Calibri"/>
        <family val="2"/>
        <scheme val="minor"/>
      </rPr>
      <t xml:space="preserve"> (test media only)</t>
    </r>
  </si>
  <si>
    <t>473-860</t>
  </si>
  <si>
    <r>
      <t>(NH</t>
    </r>
    <r>
      <rPr>
        <vertAlign val="subscript"/>
        <sz val="10"/>
        <color rgb="FF000000"/>
        <rFont val="Calibri"/>
        <family val="2"/>
        <scheme val="minor"/>
      </rPr>
      <t>4</t>
    </r>
    <r>
      <rPr>
        <sz val="10"/>
        <color indexed="8"/>
        <rFont val="Calibri"/>
        <family val="2"/>
        <scheme val="minor"/>
      </rPr>
      <t>)</t>
    </r>
    <r>
      <rPr>
        <vertAlign val="subscript"/>
        <sz val="10"/>
        <color rgb="FF000000"/>
        <rFont val="Calibri"/>
        <family val="2"/>
        <scheme val="minor"/>
      </rPr>
      <t>2</t>
    </r>
    <r>
      <rPr>
        <sz val="10"/>
        <color indexed="8"/>
        <rFont val="Calibri"/>
        <family val="2"/>
        <scheme val="minor"/>
      </rPr>
      <t>SO</t>
    </r>
    <r>
      <rPr>
        <vertAlign val="subscript"/>
        <sz val="10"/>
        <color rgb="FF000000"/>
        <rFont val="Calibri"/>
        <family val="2"/>
        <scheme val="minor"/>
      </rPr>
      <t>4</t>
    </r>
  </si>
  <si>
    <t>220-240</t>
  </si>
  <si>
    <t>380-440 (dilution water only)</t>
  </si>
  <si>
    <t>Mesocosm (sediment and lake water with alkalinity adjustment)</t>
  </si>
  <si>
    <t>784 (test water only)</t>
  </si>
  <si>
    <t>Ca = 91 mg/L</t>
  </si>
  <si>
    <t>160-180</t>
  </si>
  <si>
    <r>
      <t>NH</t>
    </r>
    <r>
      <rPr>
        <vertAlign val="subscript"/>
        <sz val="10"/>
        <color theme="1"/>
        <rFont val="Calibri"/>
        <family val="2"/>
        <scheme val="minor"/>
      </rPr>
      <t>4</t>
    </r>
    <r>
      <rPr>
        <sz val="10"/>
        <color theme="1"/>
        <rFont val="Calibri"/>
        <family val="2"/>
        <scheme val="minor"/>
      </rPr>
      <t>Cl (with some NH</t>
    </r>
    <r>
      <rPr>
        <vertAlign val="subscript"/>
        <sz val="10"/>
        <color theme="1"/>
        <rFont val="Calibri"/>
        <family val="2"/>
        <scheme val="minor"/>
      </rPr>
      <t>4</t>
    </r>
    <r>
      <rPr>
        <sz val="10"/>
        <color theme="1"/>
        <rFont val="Calibri"/>
        <family val="2"/>
        <scheme val="minor"/>
      </rPr>
      <t>OH for pH adjustment)</t>
    </r>
  </si>
  <si>
    <r>
      <t xml:space="preserve">159 </t>
    </r>
    <r>
      <rPr>
        <sz val="10"/>
        <color theme="1"/>
        <rFont val="Calibri"/>
        <family val="2"/>
      </rPr>
      <t>± 5</t>
    </r>
  </si>
  <si>
    <r>
      <t xml:space="preserve">572 </t>
    </r>
    <r>
      <rPr>
        <sz val="10"/>
        <color theme="1"/>
        <rFont val="Calibri"/>
        <family val="2"/>
      </rPr>
      <t>± 10</t>
    </r>
    <r>
      <rPr>
        <sz val="10"/>
        <color theme="1"/>
        <rFont val="Calibri"/>
        <family val="2"/>
        <scheme val="minor"/>
      </rPr>
      <t xml:space="preserve"> (all treatments)</t>
    </r>
  </si>
  <si>
    <t>26.9 (alkalinity adjusted to 100 mg/L)</t>
  </si>
  <si>
    <t>NR (total alkalinity ~ 215 mg/L)</t>
  </si>
  <si>
    <r>
      <t xml:space="preserve">162 </t>
    </r>
    <r>
      <rPr>
        <sz val="10"/>
        <color theme="1"/>
        <rFont val="Calibri"/>
        <family val="2"/>
      </rPr>
      <t>± 18 (all treatments)</t>
    </r>
  </si>
  <si>
    <r>
      <t xml:space="preserve">152 </t>
    </r>
    <r>
      <rPr>
        <sz val="10"/>
        <color theme="1"/>
        <rFont val="Calibri"/>
        <family val="2"/>
      </rPr>
      <t>± 18</t>
    </r>
  </si>
  <si>
    <r>
      <t xml:space="preserve">550 </t>
    </r>
    <r>
      <rPr>
        <sz val="10"/>
        <color theme="1"/>
        <rFont val="Calibri"/>
        <family val="2"/>
      </rPr>
      <t>± 40 (dilution water only)</t>
    </r>
  </si>
  <si>
    <t>660 (dilution water only)</t>
  </si>
  <si>
    <r>
      <t xml:space="preserve">42.8 </t>
    </r>
    <r>
      <rPr>
        <sz val="10"/>
        <color theme="1"/>
        <rFont val="Calibri"/>
        <family val="2"/>
      </rPr>
      <t>± 0.4</t>
    </r>
  </si>
  <si>
    <r>
      <t xml:space="preserve">43.1 </t>
    </r>
    <r>
      <rPr>
        <sz val="10"/>
        <color theme="1"/>
        <rFont val="Calibri"/>
        <family val="2"/>
      </rPr>
      <t>± 0.77</t>
    </r>
  </si>
  <si>
    <r>
      <t xml:space="preserve">43.1 </t>
    </r>
    <r>
      <rPr>
        <sz val="10"/>
        <color theme="1"/>
        <rFont val="Calibri"/>
        <family val="2"/>
      </rPr>
      <t>± 0.78</t>
    </r>
    <r>
      <rPr>
        <sz val="11"/>
        <color theme="1"/>
        <rFont val="Calibri"/>
        <family val="2"/>
        <scheme val="minor"/>
      </rPr>
      <t/>
    </r>
  </si>
  <si>
    <r>
      <t xml:space="preserve">43.1 </t>
    </r>
    <r>
      <rPr>
        <sz val="10"/>
        <color theme="1"/>
        <rFont val="Calibri"/>
        <family val="2"/>
      </rPr>
      <t>± 0.79</t>
    </r>
    <r>
      <rPr>
        <sz val="11"/>
        <color theme="1"/>
        <rFont val="Calibri"/>
        <family val="2"/>
        <scheme val="minor"/>
      </rPr>
      <t/>
    </r>
  </si>
  <si>
    <r>
      <t xml:space="preserve">43.1 </t>
    </r>
    <r>
      <rPr>
        <sz val="10"/>
        <color theme="1"/>
        <rFont val="Calibri"/>
        <family val="2"/>
      </rPr>
      <t>± 0.80</t>
    </r>
    <r>
      <rPr>
        <sz val="11"/>
        <color theme="1"/>
        <rFont val="Calibri"/>
        <family val="2"/>
        <scheme val="minor"/>
      </rPr>
      <t/>
    </r>
  </si>
  <si>
    <r>
      <t xml:space="preserve">43.1 </t>
    </r>
    <r>
      <rPr>
        <sz val="10"/>
        <color theme="1"/>
        <rFont val="Calibri"/>
        <family val="2"/>
      </rPr>
      <t>± 0.81</t>
    </r>
    <r>
      <rPr>
        <sz val="11"/>
        <color theme="1"/>
        <rFont val="Calibri"/>
        <family val="2"/>
        <scheme val="minor"/>
      </rPr>
      <t/>
    </r>
  </si>
  <si>
    <r>
      <t xml:space="preserve">43.1 </t>
    </r>
    <r>
      <rPr>
        <sz val="10"/>
        <color theme="1"/>
        <rFont val="Calibri"/>
        <family val="2"/>
      </rPr>
      <t>± 0.82</t>
    </r>
    <r>
      <rPr>
        <sz val="11"/>
        <color theme="1"/>
        <rFont val="Calibri"/>
        <family val="2"/>
        <scheme val="minor"/>
      </rPr>
      <t/>
    </r>
  </si>
  <si>
    <r>
      <t xml:space="preserve">43.1 </t>
    </r>
    <r>
      <rPr>
        <sz val="10"/>
        <color theme="1"/>
        <rFont val="Calibri"/>
        <family val="2"/>
      </rPr>
      <t>± 0.83</t>
    </r>
    <r>
      <rPr>
        <sz val="11"/>
        <color theme="1"/>
        <rFont val="Calibri"/>
        <family val="2"/>
        <scheme val="minor"/>
      </rPr>
      <t/>
    </r>
  </si>
  <si>
    <r>
      <t xml:space="preserve">43.1 </t>
    </r>
    <r>
      <rPr>
        <sz val="10"/>
        <color theme="1"/>
        <rFont val="Calibri"/>
        <family val="2"/>
      </rPr>
      <t>± 0.84</t>
    </r>
    <r>
      <rPr>
        <sz val="11"/>
        <color theme="1"/>
        <rFont val="Calibri"/>
        <family val="2"/>
        <scheme val="minor"/>
      </rPr>
      <t/>
    </r>
  </si>
  <si>
    <r>
      <t xml:space="preserve">43.1 </t>
    </r>
    <r>
      <rPr>
        <sz val="10"/>
        <color theme="1"/>
        <rFont val="Calibri"/>
        <family val="2"/>
      </rPr>
      <t>± 0.85</t>
    </r>
    <r>
      <rPr>
        <sz val="11"/>
        <color theme="1"/>
        <rFont val="Calibri"/>
        <family val="2"/>
        <scheme val="minor"/>
      </rPr>
      <t/>
    </r>
  </si>
  <si>
    <r>
      <t xml:space="preserve">43.1 </t>
    </r>
    <r>
      <rPr>
        <sz val="10"/>
        <color theme="1"/>
        <rFont val="Calibri"/>
        <family val="2"/>
      </rPr>
      <t>± 0.86</t>
    </r>
    <r>
      <rPr>
        <sz val="11"/>
        <color theme="1"/>
        <rFont val="Calibri"/>
        <family val="2"/>
        <scheme val="minor"/>
      </rPr>
      <t/>
    </r>
  </si>
  <si>
    <r>
      <t xml:space="preserve">43.1 </t>
    </r>
    <r>
      <rPr>
        <sz val="10"/>
        <color theme="1"/>
        <rFont val="Calibri"/>
        <family val="2"/>
      </rPr>
      <t>± 0.87</t>
    </r>
    <r>
      <rPr>
        <sz val="11"/>
        <color theme="1"/>
        <rFont val="Calibri"/>
        <family val="2"/>
        <scheme val="minor"/>
      </rPr>
      <t/>
    </r>
  </si>
  <si>
    <r>
      <t xml:space="preserve">43.1 </t>
    </r>
    <r>
      <rPr>
        <sz val="10"/>
        <color theme="1"/>
        <rFont val="Calibri"/>
        <family val="2"/>
      </rPr>
      <t>± 0.88</t>
    </r>
    <r>
      <rPr>
        <sz val="11"/>
        <color theme="1"/>
        <rFont val="Calibri"/>
        <family val="2"/>
        <scheme val="minor"/>
      </rPr>
      <t/>
    </r>
  </si>
  <si>
    <r>
      <t xml:space="preserve">43.1 </t>
    </r>
    <r>
      <rPr>
        <sz val="10"/>
        <color theme="1"/>
        <rFont val="Calibri"/>
        <family val="2"/>
      </rPr>
      <t>± 0.89</t>
    </r>
    <r>
      <rPr>
        <sz val="11"/>
        <color theme="1"/>
        <rFont val="Calibri"/>
        <family val="2"/>
        <scheme val="minor"/>
      </rPr>
      <t/>
    </r>
  </si>
  <si>
    <r>
      <t xml:space="preserve">43.1 </t>
    </r>
    <r>
      <rPr>
        <sz val="10"/>
        <color theme="1"/>
        <rFont val="Calibri"/>
        <family val="2"/>
      </rPr>
      <t>± 0.90</t>
    </r>
    <r>
      <rPr>
        <sz val="11"/>
        <color theme="1"/>
        <rFont val="Calibri"/>
        <family val="2"/>
        <scheme val="minor"/>
      </rPr>
      <t/>
    </r>
  </si>
  <si>
    <r>
      <t xml:space="preserve">43.1 </t>
    </r>
    <r>
      <rPr>
        <sz val="10"/>
        <color theme="1"/>
        <rFont val="Calibri"/>
        <family val="2"/>
      </rPr>
      <t>± 0.91</t>
    </r>
    <r>
      <rPr>
        <sz val="11"/>
        <color theme="1"/>
        <rFont val="Calibri"/>
        <family val="2"/>
        <scheme val="minor"/>
      </rPr>
      <t/>
    </r>
  </si>
  <si>
    <r>
      <t xml:space="preserve">43.1 </t>
    </r>
    <r>
      <rPr>
        <sz val="10"/>
        <color theme="1"/>
        <rFont val="Calibri"/>
        <family val="2"/>
      </rPr>
      <t>± 0.92</t>
    </r>
    <r>
      <rPr>
        <sz val="11"/>
        <color theme="1"/>
        <rFont val="Calibri"/>
        <family val="2"/>
        <scheme val="minor"/>
      </rPr>
      <t/>
    </r>
  </si>
  <si>
    <t xml:space="preserve">210-230 </t>
  </si>
  <si>
    <t>210-230</t>
  </si>
  <si>
    <t>328 (dilution water only)</t>
  </si>
  <si>
    <t>330 (dilution water only)</t>
  </si>
  <si>
    <r>
      <t xml:space="preserve">44.6 </t>
    </r>
    <r>
      <rPr>
        <sz val="10"/>
        <color theme="1"/>
        <rFont val="Calibri"/>
        <family val="2"/>
      </rPr>
      <t>± 4.2</t>
    </r>
  </si>
  <si>
    <t>109-377 (all treatments)</t>
  </si>
  <si>
    <t>106-123</t>
  </si>
  <si>
    <t>202-262 (dilution water only)</t>
  </si>
  <si>
    <t>340 (dilution water only)</t>
  </si>
  <si>
    <t>188-204</t>
  </si>
  <si>
    <t>197-200</t>
  </si>
  <si>
    <t>190-230</t>
  </si>
  <si>
    <t>381-510 (dilution water only)</t>
  </si>
  <si>
    <r>
      <t xml:space="preserve">75 </t>
    </r>
    <r>
      <rPr>
        <sz val="10"/>
        <color indexed="8"/>
        <rFont val="Calibri"/>
        <family val="2"/>
      </rPr>
      <t>± 5</t>
    </r>
  </si>
  <si>
    <r>
      <rPr>
        <sz val="10"/>
        <color rgb="FF000000"/>
        <rFont val="Calibri"/>
        <family val="2"/>
        <scheme val="minor"/>
      </rPr>
      <t xml:space="preserve">196 </t>
    </r>
    <r>
      <rPr>
        <sz val="10"/>
        <color rgb="FF000000"/>
        <rFont val="Calibri"/>
        <family val="2"/>
      </rPr>
      <t>± 8</t>
    </r>
  </si>
  <si>
    <r>
      <t>NH</t>
    </r>
    <r>
      <rPr>
        <vertAlign val="subscript"/>
        <sz val="10"/>
        <color rgb="FF000000"/>
        <rFont val="Calibri"/>
        <family val="2"/>
        <scheme val="minor"/>
      </rPr>
      <t>4</t>
    </r>
    <r>
      <rPr>
        <sz val="10"/>
        <color indexed="8"/>
        <rFont val="Calibri"/>
        <family val="2"/>
        <scheme val="minor"/>
      </rPr>
      <t>NO</t>
    </r>
    <r>
      <rPr>
        <vertAlign val="subscript"/>
        <sz val="10"/>
        <color rgb="FF000000"/>
        <rFont val="Calibri"/>
        <family val="2"/>
        <scheme val="minor"/>
      </rPr>
      <t>3</t>
    </r>
  </si>
  <si>
    <r>
      <t xml:space="preserve">156 </t>
    </r>
    <r>
      <rPr>
        <sz val="10"/>
        <color theme="1"/>
        <rFont val="Calibri"/>
        <family val="2"/>
      </rPr>
      <t>± 15</t>
    </r>
  </si>
  <si>
    <r>
      <t xml:space="preserve">58 </t>
    </r>
    <r>
      <rPr>
        <sz val="10"/>
        <color theme="1"/>
        <rFont val="Calibri"/>
        <family val="2"/>
      </rPr>
      <t>± 10</t>
    </r>
  </si>
  <si>
    <r>
      <t xml:space="preserve">75.3 </t>
    </r>
    <r>
      <rPr>
        <sz val="10"/>
        <color theme="1"/>
        <rFont val="Calibri"/>
        <family val="2"/>
      </rPr>
      <t>± 0.6</t>
    </r>
  </si>
  <si>
    <r>
      <t xml:space="preserve">20.6 </t>
    </r>
    <r>
      <rPr>
        <sz val="10"/>
        <color theme="1"/>
        <rFont val="Calibri"/>
        <family val="2"/>
      </rPr>
      <t>± 0.2</t>
    </r>
  </si>
  <si>
    <t>&lt;1.6</t>
  </si>
  <si>
    <t xml:space="preserve">calculation of EC10 values ranged from 0.70-1.7 and were dependent on the model used (3 and 4 parameter log-logistic and Weibull Type 1 and Type 2, Linear Interpolation and Probit; with and without correction of ammonia concentrations measured in the control treatment). True NOEC calculated below was altimatelyselected as the most sensitive toxicity value for this species. </t>
  </si>
  <si>
    <t>&lt;217</t>
  </si>
  <si>
    <t>Then, recalculate GVs at each temerature, for different pH values (pH6 to 9 with 0.1 pH increments) using the CVpH7 formular (next sheet)</t>
  </si>
  <si>
    <t>Chemical:</t>
  </si>
  <si>
    <t>Ammonia</t>
  </si>
  <si>
    <r>
      <t>Full data set with toxicity values normalised to pH7 and invertebrate toxicity values also normalised to a temperature of 20</t>
    </r>
    <r>
      <rPr>
        <sz val="11"/>
        <color theme="1"/>
        <rFont val="Calibri"/>
        <family val="2"/>
      </rPr>
      <t>°</t>
    </r>
    <r>
      <rPr>
        <sz val="8.8000000000000007"/>
        <color theme="1"/>
        <rFont val="Calibri"/>
        <family val="2"/>
      </rPr>
      <t>C</t>
    </r>
  </si>
  <si>
    <r>
      <t>Temperature normalisation to 10-30</t>
    </r>
    <r>
      <rPr>
        <sz val="11"/>
        <color theme="1"/>
        <rFont val="Calibri"/>
        <family val="2"/>
      </rPr>
      <t>°C (excluding 20°C) which is already on a different shreadsheet) invertebrate toxicity values after pH normalisaiton to pH7 (USEPA, 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</si>
</sst>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0000"/>
  </numFmts>
  <fonts count="54" x14ac:knownFonts="1">
    <font>
      <sz val="11"/>
      <color theme="1"/>
      <name val="Calibri"/>
      <family val="2"/>
      <scheme val="minor"/>
    </font>
    <font>
      <sz val="11"/>
      <color theme="1"/>
      <name val="Calibri"/>
      <family val="2"/>
      <scheme val="minor"/>
    </font>
    <font>
      <u/>
      <sz val="11"/>
      <color theme="10"/>
      <name val="Calibri"/>
      <family val="2"/>
      <scheme val="minor"/>
    </font>
    <font>
      <b/>
      <sz val="10"/>
      <color rgb="FF000000"/>
      <name val="Calibri"/>
      <family val="2"/>
    </font>
    <font>
      <b/>
      <sz val="10"/>
      <name val="Calibri"/>
      <family val="2"/>
    </font>
    <font>
      <sz val="10"/>
      <color theme="1"/>
      <name val="Calibri"/>
      <family val="2"/>
      <scheme val="minor"/>
    </font>
    <font>
      <u/>
      <sz val="10"/>
      <color theme="10"/>
      <name val="Calibri"/>
      <family val="2"/>
      <scheme val="minor"/>
    </font>
    <font>
      <sz val="10"/>
      <color indexed="8"/>
      <name val="Arial"/>
      <family val="2"/>
    </font>
    <font>
      <sz val="10"/>
      <color indexed="8"/>
      <name val="Calibri"/>
      <family val="2"/>
      <scheme val="minor"/>
    </font>
    <font>
      <i/>
      <sz val="10"/>
      <name val="Calibri"/>
      <family val="2"/>
      <scheme val="minor"/>
    </font>
    <font>
      <sz val="10"/>
      <name val="Calibri"/>
      <family val="2"/>
      <scheme val="minor"/>
    </font>
    <font>
      <i/>
      <sz val="10"/>
      <color theme="1"/>
      <name val="Calibri"/>
      <family val="2"/>
      <scheme val="minor"/>
    </font>
    <font>
      <sz val="10"/>
      <color theme="1"/>
      <name val="Calibri"/>
      <family val="2"/>
    </font>
    <font>
      <sz val="9"/>
      <color theme="1"/>
      <name val="Calibri"/>
      <family val="2"/>
    </font>
    <font>
      <b/>
      <sz val="9"/>
      <color indexed="81"/>
      <name val="Tahoma"/>
      <family val="2"/>
    </font>
    <font>
      <sz val="9"/>
      <color indexed="81"/>
      <name val="Tahoma"/>
      <family val="2"/>
    </font>
    <font>
      <b/>
      <sz val="10"/>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0"/>
      <color theme="0"/>
      <name val="Arial"/>
      <family val="2"/>
    </font>
    <font>
      <b/>
      <i/>
      <sz val="10"/>
      <color theme="0"/>
      <name val="Arial"/>
      <family val="2"/>
    </font>
    <font>
      <b/>
      <sz val="11"/>
      <color theme="0"/>
      <name val="Calibri"/>
      <family val="2"/>
    </font>
    <font>
      <sz val="10"/>
      <name val="Calibri"/>
      <family val="2"/>
    </font>
    <font>
      <b/>
      <sz val="10"/>
      <color rgb="FF3F3F3F"/>
      <name val="Calibri"/>
      <family val="2"/>
      <scheme val="minor"/>
    </font>
    <font>
      <sz val="10"/>
      <color rgb="FF000000"/>
      <name val="Calibri"/>
      <family val="2"/>
    </font>
    <font>
      <b/>
      <i/>
      <sz val="10"/>
      <color rgb="FF3F3F3F"/>
      <name val="Calibri"/>
      <family val="2"/>
      <scheme val="minor"/>
    </font>
    <font>
      <b/>
      <sz val="10"/>
      <name val="Calibri"/>
      <family val="2"/>
      <scheme val="minor"/>
    </font>
    <font>
      <b/>
      <sz val="10"/>
      <color rgb="FFFF0000"/>
      <name val="Calibri"/>
      <family val="2"/>
      <scheme val="minor"/>
    </font>
    <font>
      <sz val="11"/>
      <color theme="1"/>
      <name val="Calibri"/>
      <family val="2"/>
    </font>
    <font>
      <b/>
      <sz val="10"/>
      <color rgb="FFFF0000"/>
      <name val="Calibri"/>
      <family val="2"/>
    </font>
    <font>
      <b/>
      <sz val="8"/>
      <color rgb="FFFF0000"/>
      <name val="Calibri"/>
      <family val="2"/>
    </font>
    <font>
      <i/>
      <sz val="11"/>
      <color theme="1"/>
      <name val="Calibri"/>
      <family val="2"/>
      <scheme val="minor"/>
    </font>
    <font>
      <b/>
      <sz val="8"/>
      <color rgb="FF000000"/>
      <name val="Calibri"/>
      <family val="2"/>
    </font>
    <font>
      <b/>
      <sz val="11"/>
      <color theme="1"/>
      <name val="Calibri"/>
      <family val="2"/>
    </font>
    <font>
      <sz val="8.8000000000000007"/>
      <color theme="1"/>
      <name val="Calibri"/>
      <family val="2"/>
    </font>
    <font>
      <b/>
      <sz val="10"/>
      <color theme="1"/>
      <name val="Calibri"/>
      <family val="2"/>
    </font>
    <font>
      <b/>
      <sz val="8"/>
      <color theme="1"/>
      <name val="Calibri"/>
      <family val="2"/>
    </font>
    <font>
      <b/>
      <u/>
      <sz val="11"/>
      <color theme="1"/>
      <name val="Calibri"/>
      <family val="2"/>
      <scheme val="minor"/>
    </font>
    <font>
      <b/>
      <u/>
      <sz val="11"/>
      <color theme="1"/>
      <name val="Calibri"/>
      <family val="2"/>
    </font>
    <font>
      <b/>
      <i/>
      <sz val="11"/>
      <color theme="1"/>
      <name val="Calibri"/>
      <family val="2"/>
      <scheme val="minor"/>
    </font>
    <font>
      <b/>
      <i/>
      <sz val="11"/>
      <color theme="1"/>
      <name val="Calibri"/>
      <family val="2"/>
    </font>
    <font>
      <sz val="11"/>
      <name val="Calibri"/>
      <family val="2"/>
      <scheme val="minor"/>
    </font>
    <font>
      <vertAlign val="subscript"/>
      <sz val="11"/>
      <color theme="1"/>
      <name val="Calibri"/>
      <family val="2"/>
      <scheme val="minor"/>
    </font>
    <font>
      <u/>
      <sz val="8.8000000000000007"/>
      <color theme="1"/>
      <name val="Calibri"/>
      <family val="2"/>
    </font>
    <font>
      <b/>
      <sz val="11"/>
      <name val="Calibri"/>
      <family val="2"/>
      <scheme val="minor"/>
    </font>
    <font>
      <b/>
      <vertAlign val="subscript"/>
      <sz val="11"/>
      <color theme="1"/>
      <name val="Calibri"/>
      <family val="2"/>
      <scheme val="minor"/>
    </font>
    <font>
      <b/>
      <vertAlign val="subscript"/>
      <sz val="10"/>
      <color rgb="FF000000"/>
      <name val="Calibri"/>
      <family val="2"/>
    </font>
    <font>
      <vertAlign val="subscript"/>
      <sz val="10"/>
      <color theme="1"/>
      <name val="Calibri"/>
      <family val="2"/>
      <scheme val="minor"/>
    </font>
    <font>
      <vertAlign val="subscript"/>
      <sz val="10"/>
      <color rgb="FF000000"/>
      <name val="Calibri"/>
      <family val="2"/>
      <scheme val="minor"/>
    </font>
    <font>
      <sz val="8"/>
      <name val="Calibri"/>
      <family val="2"/>
      <scheme val="minor"/>
    </font>
    <font>
      <sz val="10"/>
      <color indexed="8"/>
      <name val="Calibri"/>
      <family val="2"/>
    </font>
    <font>
      <sz val="10"/>
      <color rgb="FF000000"/>
      <name val="Calibri"/>
      <family val="2"/>
      <scheme val="minor"/>
    </font>
  </fonts>
  <fills count="34">
    <fill>
      <patternFill patternType="none"/>
    </fill>
    <fill>
      <patternFill patternType="gray125"/>
    </fill>
    <fill>
      <patternFill patternType="solid">
        <fgColor theme="2"/>
        <bgColor rgb="FFC0C0C0"/>
      </patternFill>
    </fill>
    <fill>
      <patternFill patternType="solid">
        <fgColor theme="7" tint="0.79998168889431442"/>
        <bgColor rgb="FFC0C0C0"/>
      </patternFill>
    </fill>
    <fill>
      <patternFill patternType="solid">
        <fgColor theme="3" tint="0.79998168889431442"/>
        <bgColor rgb="FFC0C0C0"/>
      </patternFill>
    </fill>
    <fill>
      <patternFill patternType="solid">
        <fgColor theme="5" tint="0.79998168889431442"/>
        <bgColor rgb="FFC0C0C0"/>
      </patternFill>
    </fill>
    <fill>
      <patternFill patternType="solid">
        <fgColor theme="5" tint="0.59999389629810485"/>
        <bgColor rgb="FFC0C0C0"/>
      </patternFill>
    </fill>
    <fill>
      <patternFill patternType="solid">
        <fgColor theme="5" tint="0.39997558519241921"/>
        <bgColor rgb="FFC0C0C0"/>
      </patternFill>
    </fill>
    <fill>
      <patternFill patternType="solid">
        <fgColor theme="9" tint="0.79998168889431442"/>
        <bgColor indexed="64"/>
      </patternFill>
    </fill>
    <fill>
      <patternFill patternType="solid">
        <fgColor theme="9" tint="0.79998168889431442"/>
        <bgColor rgb="FFC0C0C0"/>
      </patternFill>
    </fill>
    <fill>
      <patternFill patternType="solid">
        <fgColor rgb="FFF2F2F2"/>
      </patternFill>
    </fill>
    <fill>
      <patternFill patternType="solid">
        <fgColor rgb="FFA5A5A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9" tint="-0.249977111117893"/>
        <bgColor indexed="64"/>
      </patternFill>
    </fill>
    <fill>
      <patternFill patternType="solid">
        <fgColor theme="6" tint="-0.249977111117893"/>
        <bgColor indexed="64"/>
      </patternFill>
    </fill>
    <fill>
      <patternFill patternType="solid">
        <fgColor rgb="FF006699"/>
        <bgColor indexed="64"/>
      </patternFill>
    </fill>
    <fill>
      <patternFill patternType="solid">
        <fgColor theme="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39997558519241921"/>
        <bgColor rgb="FFC0C0C0"/>
      </patternFill>
    </fill>
    <fill>
      <patternFill patternType="solid">
        <fgColor rgb="FFFF0000"/>
        <bgColor rgb="FFC0C0C0"/>
      </patternFill>
    </fill>
    <fill>
      <patternFill patternType="solid">
        <fgColor rgb="FFC0C0C0"/>
        <bgColor rgb="FFC0C0C0"/>
      </patternFill>
    </fill>
    <fill>
      <patternFill patternType="solid">
        <fgColor theme="0" tint="-0.249977111117893"/>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9.9978637043366805E-2"/>
        <bgColor indexed="64"/>
      </patternFill>
    </fill>
  </fills>
  <borders count="18">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0" borderId="0" applyNumberFormat="0" applyFill="0" applyBorder="0" applyAlignment="0" applyProtection="0"/>
    <xf numFmtId="0" fontId="1" fillId="0" borderId="0"/>
    <xf numFmtId="0" fontId="7" fillId="0" borderId="0"/>
    <xf numFmtId="0" fontId="7" fillId="0" borderId="0"/>
    <xf numFmtId="0" fontId="17" fillId="10" borderId="1" applyNumberFormat="0" applyAlignment="0" applyProtection="0"/>
    <xf numFmtId="0" fontId="18" fillId="11" borderId="2" applyNumberFormat="0" applyAlignment="0" applyProtection="0"/>
    <xf numFmtId="0" fontId="1" fillId="12" borderId="0" applyNumberFormat="0" applyBorder="0" applyAlignment="0" applyProtection="0"/>
    <xf numFmtId="0" fontId="1" fillId="13" borderId="0" applyNumberFormat="0" applyBorder="0" applyAlignment="0" applyProtection="0"/>
  </cellStyleXfs>
  <cellXfs count="458">
    <xf numFmtId="0" fontId="0" fillId="0" borderId="0" xfId="0"/>
    <xf numFmtId="0" fontId="3" fillId="2" borderId="0" xfId="2" applyFont="1" applyFill="1" applyAlignment="1">
      <alignment horizontal="center" vertical="center" wrapText="1"/>
    </xf>
    <xf numFmtId="0" fontId="4" fillId="3" borderId="0" xfId="2" applyFont="1" applyFill="1" applyAlignment="1">
      <alignment horizontal="center" vertical="center" wrapText="1"/>
    </xf>
    <xf numFmtId="0" fontId="4" fillId="4" borderId="0" xfId="2" applyFont="1" applyFill="1" applyAlignment="1">
      <alignment horizontal="center" vertical="center" wrapText="1"/>
    </xf>
    <xf numFmtId="0" fontId="3" fillId="5" borderId="0" xfId="2" applyFont="1" applyFill="1" applyAlignment="1">
      <alignment horizontal="center" vertical="center" wrapText="1"/>
    </xf>
    <xf numFmtId="0" fontId="3" fillId="6" borderId="0" xfId="2" applyFont="1" applyFill="1" applyAlignment="1">
      <alignment horizontal="center" vertical="center" wrapText="1"/>
    </xf>
    <xf numFmtId="0" fontId="3" fillId="7" borderId="0" xfId="2" applyFont="1" applyFill="1" applyAlignment="1">
      <alignment horizontal="center" vertical="center" wrapText="1"/>
    </xf>
    <xf numFmtId="0" fontId="5" fillId="0" borderId="0" xfId="0" applyFont="1" applyAlignment="1">
      <alignment wrapText="1"/>
    </xf>
    <xf numFmtId="49" fontId="6" fillId="0" borderId="0" xfId="1" applyNumberFormat="1" applyFont="1" applyAlignment="1" applyProtection="1">
      <alignment horizontal="center"/>
    </xf>
    <xf numFmtId="0" fontId="5" fillId="0" borderId="0" xfId="0" applyFont="1" applyAlignment="1">
      <alignment horizontal="center"/>
    </xf>
    <xf numFmtId="0" fontId="8" fillId="0" borderId="0" xfId="3" applyFont="1" applyAlignment="1">
      <alignment wrapText="1"/>
    </xf>
    <xf numFmtId="0" fontId="9" fillId="0" borderId="0" xfId="0" applyFont="1" applyAlignment="1">
      <alignment horizontal="center" wrapText="1"/>
    </xf>
    <xf numFmtId="0" fontId="5" fillId="0" borderId="0" xfId="0" applyFont="1" applyAlignment="1">
      <alignment horizontal="center" wrapText="1"/>
    </xf>
    <xf numFmtId="49" fontId="5" fillId="0" borderId="0" xfId="0" applyNumberFormat="1" applyFont="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5" fillId="0" borderId="0" xfId="0" applyFont="1"/>
    <xf numFmtId="0" fontId="9" fillId="0" borderId="0" xfId="0" applyFont="1" applyAlignment="1">
      <alignment horizontal="center" vertical="top" wrapText="1"/>
    </xf>
    <xf numFmtId="2" fontId="5" fillId="0" borderId="0" xfId="0" applyNumberFormat="1" applyFont="1" applyAlignment="1">
      <alignment horizontal="center"/>
    </xf>
    <xf numFmtId="49" fontId="6" fillId="0" borderId="0" xfId="1" applyNumberFormat="1" applyFont="1" applyFill="1" applyAlignment="1" applyProtection="1">
      <alignment horizontal="center"/>
    </xf>
    <xf numFmtId="0" fontId="10" fillId="0" borderId="0" xfId="0" applyFont="1" applyAlignment="1">
      <alignment horizontal="center"/>
    </xf>
    <xf numFmtId="49" fontId="10" fillId="0" borderId="0" xfId="0" applyNumberFormat="1" applyFont="1" applyAlignment="1">
      <alignment horizontal="center"/>
    </xf>
    <xf numFmtId="164" fontId="10" fillId="0" borderId="0" xfId="0" applyNumberFormat="1" applyFont="1" applyAlignment="1">
      <alignment horizontal="center"/>
    </xf>
    <xf numFmtId="0" fontId="8" fillId="0" borderId="0" xfId="4" applyFont="1" applyAlignment="1">
      <alignment horizontal="center"/>
    </xf>
    <xf numFmtId="0" fontId="8" fillId="0" borderId="0" xfId="3" applyFont="1" applyAlignment="1">
      <alignment horizontal="center"/>
    </xf>
    <xf numFmtId="0" fontId="8" fillId="0" borderId="0" xfId="4" applyFont="1" applyAlignment="1">
      <alignment horizontal="left"/>
    </xf>
    <xf numFmtId="165" fontId="5" fillId="0" borderId="0" xfId="0" applyNumberFormat="1" applyFont="1" applyAlignment="1">
      <alignment horizontal="center"/>
    </xf>
    <xf numFmtId="1" fontId="5" fillId="0" borderId="0" xfId="0" applyNumberFormat="1" applyFont="1" applyAlignment="1">
      <alignment horizontal="center"/>
    </xf>
    <xf numFmtId="0" fontId="5" fillId="0" borderId="0" xfId="0" applyFont="1" applyAlignment="1">
      <alignment horizontal="center" vertical="center"/>
    </xf>
    <xf numFmtId="0" fontId="10" fillId="0" borderId="0" xfId="0" applyFont="1" applyAlignment="1">
      <alignment horizontal="center" wrapText="1"/>
    </xf>
    <xf numFmtId="2" fontId="0" fillId="0" borderId="0" xfId="0" applyNumberFormat="1"/>
    <xf numFmtId="0" fontId="3" fillId="9" borderId="0" xfId="2" applyFont="1" applyFill="1" applyAlignment="1">
      <alignment horizontal="center" vertical="center" wrapText="1"/>
    </xf>
    <xf numFmtId="49" fontId="6" fillId="8" borderId="0" xfId="1" applyNumberFormat="1" applyFont="1" applyFill="1" applyAlignment="1" applyProtection="1">
      <alignment horizontal="center"/>
    </xf>
    <xf numFmtId="0" fontId="5" fillId="8" borderId="0" xfId="0" applyFont="1" applyFill="1" applyAlignment="1">
      <alignment horizontal="center"/>
    </xf>
    <xf numFmtId="0" fontId="8" fillId="8" borderId="0" xfId="3" applyFont="1" applyFill="1" applyAlignment="1">
      <alignment wrapText="1"/>
    </xf>
    <xf numFmtId="0" fontId="9" fillId="8" borderId="0" xfId="0" applyFont="1" applyFill="1" applyAlignment="1">
      <alignment horizontal="center" wrapText="1"/>
    </xf>
    <xf numFmtId="0" fontId="5" fillId="8" borderId="0" xfId="0" applyFont="1" applyFill="1" applyAlignment="1">
      <alignment horizontal="center" wrapText="1"/>
    </xf>
    <xf numFmtId="49" fontId="5" fillId="8" borderId="0" xfId="0" applyNumberFormat="1" applyFont="1" applyFill="1" applyAlignment="1">
      <alignment horizontal="center"/>
    </xf>
    <xf numFmtId="0" fontId="5" fillId="8" borderId="0" xfId="0" applyFont="1" applyFill="1" applyAlignment="1">
      <alignment horizontal="left"/>
    </xf>
    <xf numFmtId="1" fontId="5" fillId="8" borderId="0" xfId="0" applyNumberFormat="1" applyFont="1" applyFill="1" applyAlignment="1">
      <alignment horizontal="center"/>
    </xf>
    <xf numFmtId="164" fontId="5" fillId="8" borderId="0" xfId="0" applyNumberFormat="1" applyFont="1" applyFill="1" applyAlignment="1">
      <alignment horizontal="center"/>
    </xf>
    <xf numFmtId="0" fontId="5" fillId="8" borderId="0" xfId="0" applyFont="1" applyFill="1"/>
    <xf numFmtId="0" fontId="0" fillId="8" borderId="0" xfId="0" applyFill="1"/>
    <xf numFmtId="2" fontId="5" fillId="8" borderId="0" xfId="0" applyNumberFormat="1" applyFont="1" applyFill="1" applyAlignment="1">
      <alignment horizontal="center"/>
    </xf>
    <xf numFmtId="0" fontId="8" fillId="8" borderId="0" xfId="4" applyFont="1" applyFill="1" applyAlignment="1">
      <alignment horizontal="center"/>
    </xf>
    <xf numFmtId="0" fontId="8" fillId="8" borderId="0" xfId="4" applyFont="1" applyFill="1" applyAlignment="1">
      <alignment horizontal="left"/>
    </xf>
    <xf numFmtId="165" fontId="5" fillId="8" borderId="0" xfId="0" applyNumberFormat="1" applyFont="1" applyFill="1" applyAlignment="1">
      <alignment horizontal="center"/>
    </xf>
    <xf numFmtId="0" fontId="10" fillId="8" borderId="0" xfId="0" applyFont="1" applyFill="1" applyAlignment="1">
      <alignment horizontal="left"/>
    </xf>
    <xf numFmtId="0" fontId="10" fillId="8" borderId="0" xfId="0" applyFont="1" applyFill="1" applyAlignment="1">
      <alignment horizontal="center" wrapText="1"/>
    </xf>
    <xf numFmtId="165" fontId="0" fillId="8" borderId="0" xfId="0" applyNumberFormat="1" applyFill="1" applyAlignment="1">
      <alignment horizontal="center" vertical="center"/>
    </xf>
    <xf numFmtId="0" fontId="21" fillId="0" borderId="0" xfId="3" applyFont="1" applyAlignment="1">
      <alignment horizontal="center"/>
    </xf>
    <xf numFmtId="0" fontId="19" fillId="0" borderId="0" xfId="0" applyFont="1" applyAlignment="1">
      <alignment horizontal="center"/>
    </xf>
    <xf numFmtId="0" fontId="18" fillId="0" borderId="0" xfId="2" applyFont="1" applyAlignment="1">
      <alignment vertical="center" wrapText="1"/>
    </xf>
    <xf numFmtId="0" fontId="4" fillId="9" borderId="0" xfId="2" applyFont="1" applyFill="1" applyAlignment="1">
      <alignment horizontal="center" vertical="center" wrapText="1"/>
    </xf>
    <xf numFmtId="0" fontId="4" fillId="21" borderId="0" xfId="2" applyFont="1" applyFill="1" applyAlignment="1">
      <alignment horizontal="center" vertical="center" wrapText="1"/>
    </xf>
    <xf numFmtId="0" fontId="3" fillId="21" borderId="0" xfId="2" applyFont="1" applyFill="1" applyAlignment="1">
      <alignment horizontal="center" vertical="center" wrapText="1"/>
    </xf>
    <xf numFmtId="0" fontId="23" fillId="22" borderId="0" xfId="2" applyFont="1" applyFill="1" applyAlignment="1">
      <alignment horizontal="center" vertical="center" wrapText="1"/>
    </xf>
    <xf numFmtId="0" fontId="0" fillId="0" borderId="0" xfId="0" applyAlignment="1">
      <alignment wrapText="1"/>
    </xf>
    <xf numFmtId="0" fontId="4" fillId="23" borderId="0" xfId="2" applyFont="1" applyFill="1" applyAlignment="1">
      <alignment horizontal="center" vertical="center" wrapText="1"/>
    </xf>
    <xf numFmtId="0" fontId="25" fillId="10" borderId="0" xfId="5" applyFont="1" applyBorder="1" applyAlignment="1" applyProtection="1">
      <alignment horizontal="center" vertical="center" wrapText="1"/>
    </xf>
    <xf numFmtId="0" fontId="3" fillId="24" borderId="0" xfId="2" applyFont="1" applyFill="1" applyAlignment="1">
      <alignment horizontal="center" vertical="center" wrapText="1"/>
    </xf>
    <xf numFmtId="0" fontId="27" fillId="10" borderId="0" xfId="5" applyFont="1" applyBorder="1" applyAlignment="1" applyProtection="1">
      <alignment horizontal="center" vertical="center" wrapText="1"/>
    </xf>
    <xf numFmtId="0" fontId="27" fillId="0" borderId="0" xfId="5" applyFont="1" applyFill="1" applyBorder="1" applyAlignment="1" applyProtection="1">
      <alignment horizontal="center" vertical="center" wrapText="1"/>
    </xf>
    <xf numFmtId="0" fontId="3" fillId="25" borderId="0" xfId="2" applyFont="1" applyFill="1" applyAlignment="1">
      <alignment horizontal="center" vertical="center" wrapText="1"/>
    </xf>
    <xf numFmtId="0" fontId="3" fillId="25" borderId="0" xfId="2" applyFont="1" applyFill="1" applyAlignment="1">
      <alignment horizontal="center" vertical="top" wrapText="1"/>
    </xf>
    <xf numFmtId="0" fontId="4" fillId="25" borderId="0" xfId="2" applyFont="1" applyFill="1" applyAlignment="1">
      <alignment horizontal="center" vertical="top" wrapText="1"/>
    </xf>
    <xf numFmtId="0" fontId="5" fillId="0" borderId="0" xfId="2" applyFont="1" applyAlignment="1">
      <alignment wrapText="1"/>
    </xf>
    <xf numFmtId="0" fontId="25" fillId="0" borderId="0" xfId="5" applyFont="1" applyFill="1" applyBorder="1" applyAlignment="1">
      <alignment horizontal="center"/>
    </xf>
    <xf numFmtId="0" fontId="28" fillId="0" borderId="0" xfId="6" applyFont="1" applyFill="1" applyBorder="1" applyAlignment="1">
      <alignment horizontal="center" wrapText="1"/>
    </xf>
    <xf numFmtId="0" fontId="8" fillId="0" borderId="0" xfId="4" applyFont="1"/>
    <xf numFmtId="0" fontId="5" fillId="0" borderId="0" xfId="7" applyFont="1" applyFill="1" applyBorder="1" applyAlignment="1">
      <alignment horizontal="center"/>
    </xf>
    <xf numFmtId="0" fontId="0" fillId="18" borderId="0" xfId="0" applyFill="1" applyAlignment="1">
      <alignment horizontal="center"/>
    </xf>
    <xf numFmtId="164" fontId="5" fillId="0" borderId="0" xfId="8" applyNumberFormat="1" applyFont="1" applyFill="1" applyBorder="1" applyAlignment="1"/>
    <xf numFmtId="164" fontId="8" fillId="0" borderId="0" xfId="3" applyNumberFormat="1" applyFont="1"/>
    <xf numFmtId="164" fontId="16" fillId="0" borderId="0" xfId="0" applyNumberFormat="1" applyFont="1"/>
    <xf numFmtId="0" fontId="30" fillId="18" borderId="0" xfId="0" applyFont="1" applyFill="1" applyAlignment="1">
      <alignment horizontal="center"/>
    </xf>
    <xf numFmtId="0" fontId="29" fillId="0" borderId="0" xfId="5" applyFont="1" applyFill="1" applyBorder="1" applyAlignment="1">
      <alignment vertical="center"/>
    </xf>
    <xf numFmtId="1" fontId="5" fillId="0" borderId="0" xfId="7" applyNumberFormat="1" applyFont="1" applyFill="1" applyBorder="1" applyAlignment="1"/>
    <xf numFmtId="1" fontId="8" fillId="0" borderId="0" xfId="3" applyNumberFormat="1" applyFont="1"/>
    <xf numFmtId="1" fontId="16" fillId="0" borderId="0" xfId="0" applyNumberFormat="1" applyFont="1"/>
    <xf numFmtId="1" fontId="16" fillId="0" borderId="0" xfId="0" applyNumberFormat="1" applyFont="1" applyAlignment="1">
      <alignment horizontal="center"/>
    </xf>
    <xf numFmtId="1" fontId="5" fillId="0" borderId="0" xfId="8" applyNumberFormat="1" applyFont="1" applyFill="1" applyBorder="1" applyAlignment="1"/>
    <xf numFmtId="164" fontId="16" fillId="0" borderId="0" xfId="0" applyNumberFormat="1" applyFont="1" applyAlignment="1">
      <alignment horizontal="center"/>
    </xf>
    <xf numFmtId="1" fontId="5" fillId="0" borderId="0" xfId="0" applyNumberFormat="1" applyFont="1"/>
    <xf numFmtId="0" fontId="1" fillId="0" borderId="0" xfId="2" applyAlignment="1">
      <alignment wrapText="1"/>
    </xf>
    <xf numFmtId="165" fontId="28" fillId="0" borderId="0" xfId="6" applyNumberFormat="1" applyFont="1" applyFill="1" applyBorder="1" applyAlignment="1">
      <alignment horizontal="center" wrapText="1"/>
    </xf>
    <xf numFmtId="1" fontId="10" fillId="0" borderId="0" xfId="8" applyNumberFormat="1" applyFont="1" applyFill="1" applyBorder="1" applyAlignment="1"/>
    <xf numFmtId="0" fontId="0" fillId="0" borderId="0" xfId="0" applyAlignment="1">
      <alignment horizontal="center"/>
    </xf>
    <xf numFmtId="49" fontId="25" fillId="0" borderId="0" xfId="5" applyNumberFormat="1" applyFont="1" applyFill="1" applyBorder="1" applyAlignment="1">
      <alignment horizontal="center"/>
    </xf>
    <xf numFmtId="1" fontId="5" fillId="0" borderId="0" xfId="0" applyNumberFormat="1" applyFont="1" applyAlignment="1">
      <alignment horizontal="right"/>
    </xf>
    <xf numFmtId="1" fontId="29" fillId="0" borderId="0" xfId="8" applyNumberFormat="1" applyFont="1" applyFill="1" applyBorder="1" applyAlignment="1"/>
    <xf numFmtId="0" fontId="11" fillId="0" borderId="0" xfId="0" applyFont="1" applyAlignment="1">
      <alignment horizontal="center"/>
    </xf>
    <xf numFmtId="0" fontId="5" fillId="0" borderId="0" xfId="2" applyFont="1" applyAlignment="1">
      <alignment horizontal="center" wrapText="1"/>
    </xf>
    <xf numFmtId="166" fontId="5" fillId="8" borderId="0" xfId="0" applyNumberFormat="1" applyFont="1" applyFill="1" applyAlignment="1">
      <alignment horizontal="center"/>
    </xf>
    <xf numFmtId="1" fontId="8" fillId="0" borderId="0" xfId="4" applyNumberFormat="1" applyFont="1" applyAlignment="1">
      <alignment horizontal="center"/>
    </xf>
    <xf numFmtId="2" fontId="5" fillId="0" borderId="0" xfId="8" applyNumberFormat="1" applyFont="1" applyFill="1" applyBorder="1" applyAlignment="1"/>
    <xf numFmtId="2" fontId="8" fillId="0" borderId="0" xfId="3" applyNumberFormat="1" applyFont="1"/>
    <xf numFmtId="0" fontId="30" fillId="0" borderId="0" xfId="0" applyFont="1" applyAlignment="1">
      <alignment horizontal="center"/>
    </xf>
    <xf numFmtId="0" fontId="19" fillId="0" borderId="0" xfId="0" applyFont="1" applyAlignment="1">
      <alignment wrapText="1"/>
    </xf>
    <xf numFmtId="49" fontId="0" fillId="0" borderId="0" xfId="0" applyNumberFormat="1" applyAlignment="1">
      <alignment horizontal="center"/>
    </xf>
    <xf numFmtId="0" fontId="29" fillId="0" borderId="0" xfId="4" applyFont="1"/>
    <xf numFmtId="165" fontId="28" fillId="0" borderId="3" xfId="6" applyNumberFormat="1" applyFont="1" applyFill="1" applyBorder="1" applyAlignment="1">
      <alignment horizontal="center" wrapText="1"/>
    </xf>
    <xf numFmtId="0" fontId="25" fillId="0" borderId="4" xfId="5" applyFont="1" applyFill="1" applyBorder="1" applyAlignment="1">
      <alignment horizontal="center"/>
    </xf>
    <xf numFmtId="49" fontId="25" fillId="0" borderId="4" xfId="5" applyNumberFormat="1" applyFont="1" applyFill="1" applyBorder="1" applyAlignment="1">
      <alignment horizontal="center"/>
    </xf>
    <xf numFmtId="0" fontId="8" fillId="0" borderId="4" xfId="4" applyFont="1" applyBorder="1"/>
    <xf numFmtId="0" fontId="5" fillId="0" borderId="4" xfId="7" applyFont="1" applyFill="1" applyBorder="1" applyAlignment="1">
      <alignment horizontal="center"/>
    </xf>
    <xf numFmtId="1" fontId="16" fillId="0" borderId="4" xfId="0" applyNumberFormat="1" applyFont="1" applyBorder="1" applyAlignment="1">
      <alignment horizontal="center"/>
    </xf>
    <xf numFmtId="1" fontId="5" fillId="0" borderId="4" xfId="8" applyNumberFormat="1" applyFont="1" applyFill="1" applyBorder="1" applyAlignment="1"/>
    <xf numFmtId="1" fontId="8" fillId="0" borderId="4" xfId="3" applyNumberFormat="1" applyFont="1" applyBorder="1"/>
    <xf numFmtId="1" fontId="16" fillId="0" borderId="5" xfId="0" applyNumberFormat="1" applyFont="1" applyBorder="1"/>
    <xf numFmtId="165" fontId="28" fillId="0" borderId="6" xfId="6" applyNumberFormat="1" applyFont="1" applyFill="1" applyBorder="1" applyAlignment="1">
      <alignment horizontal="center" wrapText="1"/>
    </xf>
    <xf numFmtId="0" fontId="25" fillId="0" borderId="7" xfId="5" applyFont="1" applyFill="1" applyBorder="1" applyAlignment="1">
      <alignment horizontal="center"/>
    </xf>
    <xf numFmtId="49" fontId="25" fillId="0" borderId="7" xfId="5" applyNumberFormat="1" applyFont="1" applyFill="1" applyBorder="1" applyAlignment="1">
      <alignment horizontal="center"/>
    </xf>
    <xf numFmtId="0" fontId="29" fillId="0" borderId="7" xfId="5" applyFont="1" applyFill="1" applyBorder="1" applyAlignment="1">
      <alignment vertical="center"/>
    </xf>
    <xf numFmtId="0" fontId="5" fillId="0" borderId="7" xfId="7" applyFont="1" applyFill="1" applyBorder="1" applyAlignment="1">
      <alignment horizontal="center"/>
    </xf>
    <xf numFmtId="1" fontId="16" fillId="0" borderId="7" xfId="0" applyNumberFormat="1" applyFont="1" applyBorder="1" applyAlignment="1">
      <alignment horizontal="center"/>
    </xf>
    <xf numFmtId="2" fontId="5" fillId="0" borderId="7" xfId="8" applyNumberFormat="1" applyFont="1" applyFill="1" applyBorder="1" applyAlignment="1"/>
    <xf numFmtId="2" fontId="8" fillId="0" borderId="7" xfId="3" applyNumberFormat="1" applyFont="1" applyBorder="1"/>
    <xf numFmtId="164" fontId="5" fillId="0" borderId="4" xfId="8" applyNumberFormat="1" applyFont="1" applyFill="1" applyBorder="1" applyAlignment="1"/>
    <xf numFmtId="164" fontId="8" fillId="0" borderId="4" xfId="3" applyNumberFormat="1" applyFont="1" applyBorder="1"/>
    <xf numFmtId="0" fontId="29" fillId="26" borderId="7" xfId="5" applyFont="1" applyFill="1" applyBorder="1" applyAlignment="1">
      <alignment vertical="center"/>
    </xf>
    <xf numFmtId="0" fontId="25" fillId="20" borderId="7" xfId="5" applyFont="1" applyFill="1" applyBorder="1" applyAlignment="1">
      <alignment horizontal="center"/>
    </xf>
    <xf numFmtId="0" fontId="5" fillId="26" borderId="7" xfId="7" applyFont="1" applyFill="1" applyBorder="1" applyAlignment="1">
      <alignment horizontal="center"/>
    </xf>
    <xf numFmtId="0" fontId="0" fillId="0" borderId="7" xfId="0" applyBorder="1"/>
    <xf numFmtId="0" fontId="0" fillId="0" borderId="8" xfId="0" applyBorder="1"/>
    <xf numFmtId="2" fontId="16" fillId="0" borderId="8" xfId="0" applyNumberFormat="1" applyFont="1" applyBorder="1"/>
    <xf numFmtId="164" fontId="16" fillId="0" borderId="5" xfId="0" applyNumberFormat="1" applyFont="1" applyBorder="1"/>
    <xf numFmtId="165" fontId="28" fillId="0" borderId="9" xfId="6" applyNumberFormat="1" applyFont="1" applyFill="1" applyBorder="1" applyAlignment="1">
      <alignment horizontal="center" wrapText="1"/>
    </xf>
    <xf numFmtId="0" fontId="25" fillId="0" borderId="10" xfId="5" applyFont="1" applyFill="1" applyBorder="1" applyAlignment="1">
      <alignment horizontal="center"/>
    </xf>
    <xf numFmtId="49" fontId="25" fillId="0" borderId="10" xfId="5" applyNumberFormat="1" applyFont="1" applyFill="1" applyBorder="1" applyAlignment="1">
      <alignment horizontal="center"/>
    </xf>
    <xf numFmtId="0" fontId="8" fillId="0" borderId="10" xfId="4" applyFont="1" applyBorder="1"/>
    <xf numFmtId="0" fontId="5" fillId="0" borderId="10" xfId="7" applyFont="1" applyFill="1" applyBorder="1" applyAlignment="1">
      <alignment horizontal="center"/>
    </xf>
    <xf numFmtId="165" fontId="28" fillId="0" borderId="12" xfId="6" applyNumberFormat="1" applyFont="1" applyFill="1" applyBorder="1" applyAlignment="1">
      <alignment horizontal="center" wrapText="1"/>
    </xf>
    <xf numFmtId="1" fontId="16" fillId="0" borderId="13" xfId="0" applyNumberFormat="1" applyFont="1" applyBorder="1"/>
    <xf numFmtId="0" fontId="8" fillId="0" borderId="7" xfId="4" applyFont="1" applyBorder="1"/>
    <xf numFmtId="1" fontId="5" fillId="0" borderId="7" xfId="8" applyNumberFormat="1" applyFont="1" applyFill="1" applyBorder="1" applyAlignment="1"/>
    <xf numFmtId="1" fontId="8" fillId="0" borderId="7" xfId="3" applyNumberFormat="1" applyFont="1" applyBorder="1"/>
    <xf numFmtId="1" fontId="16" fillId="0" borderId="8" xfId="0" applyNumberFormat="1" applyFont="1" applyBorder="1"/>
    <xf numFmtId="164" fontId="16" fillId="0" borderId="7" xfId="0" applyNumberFormat="1" applyFont="1" applyBorder="1" applyAlignment="1">
      <alignment horizontal="center"/>
    </xf>
    <xf numFmtId="0" fontId="29" fillId="0" borderId="4" xfId="5" applyFont="1" applyFill="1" applyBorder="1" applyAlignment="1">
      <alignment vertical="center"/>
    </xf>
    <xf numFmtId="164" fontId="5" fillId="0" borderId="7" xfId="8" applyNumberFormat="1" applyFont="1" applyFill="1" applyBorder="1" applyAlignment="1"/>
    <xf numFmtId="164" fontId="8" fillId="0" borderId="7" xfId="3" applyNumberFormat="1" applyFont="1" applyBorder="1"/>
    <xf numFmtId="164" fontId="16" fillId="0" borderId="8" xfId="0" applyNumberFormat="1" applyFont="1" applyBorder="1"/>
    <xf numFmtId="164" fontId="16" fillId="0" borderId="10" xfId="0" applyNumberFormat="1" applyFont="1" applyBorder="1" applyAlignment="1">
      <alignment horizontal="center"/>
    </xf>
    <xf numFmtId="164" fontId="5" fillId="0" borderId="10" xfId="8" applyNumberFormat="1" applyFont="1" applyFill="1" applyBorder="1" applyAlignment="1"/>
    <xf numFmtId="0" fontId="0" fillId="0" borderId="13" xfId="0" applyBorder="1"/>
    <xf numFmtId="1" fontId="5" fillId="0" borderId="13" xfId="0" applyNumberFormat="1" applyFont="1" applyBorder="1"/>
    <xf numFmtId="164" fontId="16" fillId="0" borderId="4" xfId="0" applyNumberFormat="1" applyFont="1" applyBorder="1" applyAlignment="1">
      <alignment horizontal="center"/>
    </xf>
    <xf numFmtId="164" fontId="8" fillId="0" borderId="10" xfId="3" applyNumberFormat="1" applyFont="1" applyBorder="1"/>
    <xf numFmtId="164" fontId="16" fillId="0" borderId="11" xfId="0" applyNumberFormat="1" applyFont="1" applyBorder="1"/>
    <xf numFmtId="164" fontId="16" fillId="0" borderId="13" xfId="0" applyNumberFormat="1" applyFont="1" applyBorder="1"/>
    <xf numFmtId="2" fontId="16" fillId="0" borderId="0" xfId="0" applyNumberFormat="1" applyFont="1" applyAlignment="1">
      <alignment horizontal="center"/>
    </xf>
    <xf numFmtId="2" fontId="16" fillId="0" borderId="7" xfId="0" applyNumberFormat="1" applyFont="1" applyBorder="1" applyAlignment="1">
      <alignment horizontal="center"/>
    </xf>
    <xf numFmtId="2" fontId="16" fillId="0" borderId="13" xfId="0" applyNumberFormat="1" applyFont="1" applyBorder="1"/>
    <xf numFmtId="2" fontId="16" fillId="0" borderId="4" xfId="0" applyNumberFormat="1" applyFont="1" applyBorder="1" applyAlignment="1">
      <alignment horizontal="center"/>
    </xf>
    <xf numFmtId="2" fontId="5" fillId="0" borderId="4" xfId="8" applyNumberFormat="1" applyFont="1" applyFill="1" applyBorder="1" applyAlignment="1"/>
    <xf numFmtId="2" fontId="8" fillId="0" borderId="4" xfId="3" applyNumberFormat="1" applyFont="1" applyBorder="1"/>
    <xf numFmtId="0" fontId="5" fillId="0" borderId="4" xfId="0" applyFont="1" applyBorder="1"/>
    <xf numFmtId="0" fontId="5" fillId="0" borderId="4" xfId="0" applyFont="1" applyBorder="1" applyAlignment="1">
      <alignment horizontal="center"/>
    </xf>
    <xf numFmtId="0" fontId="5" fillId="0" borderId="5" xfId="0" applyFont="1" applyBorder="1"/>
    <xf numFmtId="0" fontId="5" fillId="0" borderId="13" xfId="0" applyFont="1" applyBorder="1"/>
    <xf numFmtId="164" fontId="0" fillId="0" borderId="0" xfId="0" applyNumberFormat="1"/>
    <xf numFmtId="1" fontId="29" fillId="0" borderId="0" xfId="8" applyNumberFormat="1" applyFont="1" applyFill="1" applyBorder="1" applyAlignment="1">
      <alignment horizontal="left" vertical="top" wrapText="1"/>
    </xf>
    <xf numFmtId="1" fontId="29" fillId="0" borderId="13" xfId="8" applyNumberFormat="1" applyFont="1" applyFill="1" applyBorder="1" applyAlignment="1">
      <alignment horizontal="left" vertical="top" wrapText="1"/>
    </xf>
    <xf numFmtId="164" fontId="5" fillId="0" borderId="0" xfId="0" applyNumberFormat="1" applyFont="1"/>
    <xf numFmtId="164" fontId="10" fillId="0" borderId="0" xfId="8" applyNumberFormat="1" applyFont="1" applyFill="1" applyBorder="1" applyAlignment="1">
      <alignment horizontal="right" vertical="top" wrapText="1"/>
    </xf>
    <xf numFmtId="164" fontId="19" fillId="0" borderId="0" xfId="0" applyNumberFormat="1" applyFont="1" applyAlignment="1">
      <alignment horizontal="center"/>
    </xf>
    <xf numFmtId="1" fontId="5" fillId="0" borderId="7" xfId="0" applyNumberFormat="1" applyFont="1" applyBorder="1" applyAlignment="1">
      <alignment horizontal="right"/>
    </xf>
    <xf numFmtId="1" fontId="5" fillId="0" borderId="7" xfId="0" applyNumberFormat="1" applyFont="1" applyBorder="1"/>
    <xf numFmtId="164" fontId="5" fillId="0" borderId="4" xfId="0" applyNumberFormat="1" applyFont="1" applyBorder="1"/>
    <xf numFmtId="164" fontId="5" fillId="0" borderId="0" xfId="0" applyNumberFormat="1" applyFont="1" applyAlignment="1">
      <alignment horizontal="right"/>
    </xf>
    <xf numFmtId="164" fontId="0" fillId="0" borderId="13" xfId="0" applyNumberFormat="1" applyBorder="1"/>
    <xf numFmtId="0" fontId="10" fillId="8" borderId="0" xfId="0" applyFont="1" applyFill="1" applyAlignment="1">
      <alignment horizontal="center"/>
    </xf>
    <xf numFmtId="165" fontId="0" fillId="0" borderId="0" xfId="0" applyNumberFormat="1" applyAlignment="1">
      <alignment horizontal="center" vertical="center"/>
    </xf>
    <xf numFmtId="165" fontId="0" fillId="0" borderId="0" xfId="0" applyNumberFormat="1"/>
    <xf numFmtId="0" fontId="19" fillId="0" borderId="0" xfId="0" applyFont="1"/>
    <xf numFmtId="0" fontId="0" fillId="28" borderId="0" xfId="0" applyFill="1"/>
    <xf numFmtId="0" fontId="19" fillId="28" borderId="0" xfId="0" applyFont="1" applyFill="1"/>
    <xf numFmtId="164" fontId="19" fillId="28" borderId="0" xfId="0" applyNumberFormat="1" applyFont="1" applyFill="1"/>
    <xf numFmtId="0" fontId="0" fillId="29" borderId="0" xfId="0" applyFill="1"/>
    <xf numFmtId="0" fontId="19" fillId="29" borderId="0" xfId="0" applyFont="1" applyFill="1"/>
    <xf numFmtId="164" fontId="19" fillId="29" borderId="0" xfId="0" applyNumberFormat="1" applyFont="1" applyFill="1"/>
    <xf numFmtId="0" fontId="19" fillId="8" borderId="0" xfId="0" applyFont="1" applyFill="1"/>
    <xf numFmtId="0" fontId="0" fillId="8" borderId="0" xfId="0" applyFill="1" applyAlignment="1">
      <alignment horizontal="center"/>
    </xf>
    <xf numFmtId="164" fontId="0" fillId="8" borderId="0" xfId="0" applyNumberFormat="1" applyFill="1" applyAlignment="1">
      <alignment horizontal="center"/>
    </xf>
    <xf numFmtId="0" fontId="0" fillId="30" borderId="0" xfId="0" applyFill="1"/>
    <xf numFmtId="0" fontId="0" fillId="30" borderId="0" xfId="0" applyFill="1" applyAlignment="1">
      <alignment horizontal="center"/>
    </xf>
    <xf numFmtId="0" fontId="0" fillId="27" borderId="0" xfId="0" applyFill="1"/>
    <xf numFmtId="0" fontId="0" fillId="27" borderId="0" xfId="0" applyFill="1" applyAlignment="1">
      <alignment horizontal="center"/>
    </xf>
    <xf numFmtId="2" fontId="16" fillId="0" borderId="10" xfId="0" applyNumberFormat="1" applyFont="1" applyBorder="1" applyAlignment="1">
      <alignment horizontal="center"/>
    </xf>
    <xf numFmtId="2" fontId="5" fillId="0" borderId="10" xfId="8" applyNumberFormat="1" applyFont="1" applyFill="1" applyBorder="1" applyAlignment="1"/>
    <xf numFmtId="2" fontId="8" fillId="0" borderId="10" xfId="3" applyNumberFormat="1" applyFont="1" applyBorder="1"/>
    <xf numFmtId="2" fontId="16" fillId="0" borderId="11" xfId="0" applyNumberFormat="1" applyFont="1" applyBorder="1"/>
    <xf numFmtId="0" fontId="3" fillId="0" borderId="0" xfId="2" applyFont="1" applyAlignment="1">
      <alignment horizontal="center" vertical="center" wrapText="1"/>
    </xf>
    <xf numFmtId="1" fontId="19" fillId="0" borderId="13" xfId="0" applyNumberFormat="1" applyFont="1" applyBorder="1"/>
    <xf numFmtId="1" fontId="16" fillId="0" borderId="11" xfId="0" applyNumberFormat="1" applyFont="1" applyBorder="1"/>
    <xf numFmtId="0" fontId="0" fillId="0" borderId="4" xfId="0" applyBorder="1" applyAlignment="1">
      <alignment horizontal="center"/>
    </xf>
    <xf numFmtId="0" fontId="0" fillId="0" borderId="4" xfId="0" applyBorder="1"/>
    <xf numFmtId="0" fontId="0" fillId="0" borderId="5" xfId="0" applyBorder="1"/>
    <xf numFmtId="0" fontId="5" fillId="0" borderId="7" xfId="0" applyFont="1" applyBorder="1" applyAlignment="1">
      <alignment horizontal="center"/>
    </xf>
    <xf numFmtId="0" fontId="5" fillId="0" borderId="7" xfId="0" applyFont="1" applyBorder="1"/>
    <xf numFmtId="0" fontId="16" fillId="0" borderId="0" xfId="0" applyFont="1" applyAlignment="1">
      <alignment wrapText="1"/>
    </xf>
    <xf numFmtId="0" fontId="16" fillId="0" borderId="0" xfId="0" applyFont="1" applyAlignment="1">
      <alignment horizontal="center" wrapText="1"/>
    </xf>
    <xf numFmtId="0" fontId="4" fillId="0" borderId="0" xfId="2" applyFont="1" applyAlignment="1">
      <alignment horizontal="center" vertical="center" wrapText="1"/>
    </xf>
    <xf numFmtId="0" fontId="23" fillId="0" borderId="0" xfId="2" applyFont="1" applyAlignment="1">
      <alignment horizontal="center" vertical="center" wrapText="1"/>
    </xf>
    <xf numFmtId="0" fontId="25" fillId="0" borderId="0" xfId="5" applyFont="1" applyFill="1" applyBorder="1" applyAlignment="1" applyProtection="1">
      <alignment horizontal="center" vertical="center" wrapText="1"/>
    </xf>
    <xf numFmtId="0" fontId="4" fillId="0" borderId="0" xfId="2" applyFont="1" applyAlignment="1">
      <alignment horizontal="center" vertical="top" wrapText="1"/>
    </xf>
    <xf numFmtId="0" fontId="19" fillId="0" borderId="0" xfId="0" applyFont="1" applyAlignment="1">
      <alignment horizontal="center" vertical="center" wrapText="1"/>
    </xf>
    <xf numFmtId="0" fontId="18" fillId="0" borderId="0" xfId="2" applyFont="1" applyAlignment="1">
      <alignment horizontal="center" vertical="center" wrapText="1"/>
    </xf>
    <xf numFmtId="0" fontId="16" fillId="0" borderId="0" xfId="2" applyFont="1" applyAlignment="1">
      <alignment wrapText="1"/>
    </xf>
    <xf numFmtId="0" fontId="19" fillId="0" borderId="0" xfId="0" applyFont="1" applyAlignment="1">
      <alignment vertical="center" wrapText="1"/>
    </xf>
    <xf numFmtId="0" fontId="39" fillId="0" borderId="0" xfId="0" applyFont="1"/>
    <xf numFmtId="0" fontId="0" fillId="0" borderId="3" xfId="0" applyBorder="1"/>
    <xf numFmtId="0" fontId="19" fillId="0" borderId="4"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4" fontId="0" fillId="0" borderId="13" xfId="0" applyNumberFormat="1" applyBorder="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0" fontId="0" fillId="8" borderId="13" xfId="0"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0" fillId="0" borderId="6" xfId="0" applyBorder="1"/>
    <xf numFmtId="0" fontId="16" fillId="0" borderId="0" xfId="0" applyFont="1"/>
    <xf numFmtId="0" fontId="16" fillId="0" borderId="0" xfId="0" applyFont="1" applyAlignment="1">
      <alignment horizontal="center"/>
    </xf>
    <xf numFmtId="0" fontId="0" fillId="0" borderId="0" xfId="0" applyAlignment="1">
      <alignment horizontal="left"/>
    </xf>
    <xf numFmtId="0" fontId="19" fillId="0" borderId="0" xfId="0" applyFont="1" applyAlignment="1">
      <alignment horizontal="left"/>
    </xf>
    <xf numFmtId="0" fontId="41" fillId="0" borderId="0" xfId="0" applyFont="1"/>
    <xf numFmtId="0" fontId="5" fillId="18" borderId="0" xfId="0" applyFont="1" applyFill="1" applyAlignment="1">
      <alignment horizontal="center"/>
    </xf>
    <xf numFmtId="0" fontId="0" fillId="18" borderId="0" xfId="0" applyFill="1" applyAlignment="1">
      <alignment horizontal="left"/>
    </xf>
    <xf numFmtId="0" fontId="43" fillId="0" borderId="0" xfId="0" applyFont="1"/>
    <xf numFmtId="0" fontId="0" fillId="31" borderId="0" xfId="0" applyFill="1"/>
    <xf numFmtId="0" fontId="0" fillId="32" borderId="0" xfId="0" applyFill="1"/>
    <xf numFmtId="0" fontId="19" fillId="0" borderId="3" xfId="0" applyFont="1" applyBorder="1" applyAlignment="1">
      <alignment horizontal="center"/>
    </xf>
    <xf numFmtId="0" fontId="0" fillId="0" borderId="14" xfId="0" applyBorder="1"/>
    <xf numFmtId="0" fontId="46" fillId="0" borderId="14" xfId="0" applyFont="1" applyBorder="1"/>
    <xf numFmtId="0" fontId="19" fillId="0" borderId="15" xfId="0" applyFont="1" applyBorder="1" applyAlignment="1">
      <alignment horizontal="center"/>
    </xf>
    <xf numFmtId="0" fontId="42" fillId="0" borderId="15" xfId="0" applyFont="1" applyBorder="1" applyAlignment="1">
      <alignment horizontal="center"/>
    </xf>
    <xf numFmtId="0" fontId="19" fillId="0" borderId="15" xfId="0" applyFont="1" applyBorder="1"/>
    <xf numFmtId="0" fontId="46" fillId="0" borderId="15" xfId="0" applyFont="1" applyBorder="1" applyAlignment="1">
      <alignment horizontal="center"/>
    </xf>
    <xf numFmtId="0" fontId="19" fillId="0" borderId="6" xfId="0" applyFont="1" applyBorder="1"/>
    <xf numFmtId="0" fontId="19" fillId="0" borderId="7" xfId="0" applyFont="1" applyBorder="1"/>
    <xf numFmtId="0" fontId="19" fillId="0" borderId="8" xfId="0" applyFont="1" applyBorder="1"/>
    <xf numFmtId="0" fontId="19" fillId="0" borderId="9" xfId="0" applyFont="1" applyBorder="1" applyAlignment="1">
      <alignment horizontal="center"/>
    </xf>
    <xf numFmtId="0" fontId="19" fillId="0" borderId="10" xfId="0" applyFont="1" applyBorder="1"/>
    <xf numFmtId="0" fontId="19" fillId="0" borderId="11" xfId="0" applyFont="1" applyBorder="1"/>
    <xf numFmtId="0" fontId="19" fillId="0" borderId="11" xfId="0" applyFont="1" applyBorder="1" applyAlignment="1">
      <alignment horizontal="center"/>
    </xf>
    <xf numFmtId="0" fontId="19" fillId="0" borderId="16" xfId="0" applyFont="1" applyBorder="1" applyAlignment="1">
      <alignment horizontal="center"/>
    </xf>
    <xf numFmtId="0" fontId="0" fillId="31" borderId="3" xfId="0" applyFill="1" applyBorder="1" applyAlignment="1">
      <alignment horizontal="center" vertical="center"/>
    </xf>
    <xf numFmtId="0" fontId="0" fillId="0" borderId="4" xfId="0" applyBorder="1" applyAlignment="1">
      <alignment horizontal="center" vertical="center"/>
    </xf>
    <xf numFmtId="166" fontId="0" fillId="0" borderId="4" xfId="0" applyNumberFormat="1" applyBorder="1" applyAlignment="1">
      <alignment horizontal="center" vertical="center"/>
    </xf>
    <xf numFmtId="0" fontId="0" fillId="31" borderId="4" xfId="0" applyFill="1" applyBorder="1" applyAlignment="1">
      <alignment horizontal="center" vertical="center"/>
    </xf>
    <xf numFmtId="167" fontId="0" fillId="0" borderId="4" xfId="0" applyNumberFormat="1" applyBorder="1" applyAlignment="1">
      <alignment horizontal="center" vertical="center"/>
    </xf>
    <xf numFmtId="165" fontId="0" fillId="0" borderId="5" xfId="0" applyNumberFormat="1" applyBorder="1" applyAlignment="1">
      <alignment horizontal="center" vertical="center"/>
    </xf>
    <xf numFmtId="165" fontId="43" fillId="0" borderId="14" xfId="0" applyNumberFormat="1" applyFont="1" applyBorder="1" applyAlignment="1">
      <alignment horizontal="center" vertical="center"/>
    </xf>
    <xf numFmtId="0" fontId="0" fillId="31" borderId="3" xfId="0" applyFill="1" applyBorder="1" applyAlignment="1">
      <alignment horizontal="center"/>
    </xf>
    <xf numFmtId="0" fontId="0" fillId="31" borderId="4" xfId="0" applyFill="1" applyBorder="1" applyAlignment="1">
      <alignment horizontal="center"/>
    </xf>
    <xf numFmtId="1" fontId="0" fillId="32" borderId="3" xfId="0" applyNumberFormat="1" applyFill="1" applyBorder="1" applyAlignment="1">
      <alignment horizontal="center"/>
    </xf>
    <xf numFmtId="0" fontId="0" fillId="29" borderId="4" xfId="0" applyFill="1" applyBorder="1" applyAlignment="1">
      <alignment horizontal="center"/>
    </xf>
    <xf numFmtId="0" fontId="0" fillId="29" borderId="5" xfId="0" applyFill="1" applyBorder="1" applyAlignment="1">
      <alignment horizontal="center"/>
    </xf>
    <xf numFmtId="1" fontId="0" fillId="30" borderId="3" xfId="0" applyNumberFormat="1" applyFill="1" applyBorder="1" applyAlignment="1">
      <alignment horizontal="center"/>
    </xf>
    <xf numFmtId="0" fontId="0" fillId="31" borderId="5" xfId="0" applyFill="1" applyBorder="1" applyAlignment="1">
      <alignment horizontal="center"/>
    </xf>
    <xf numFmtId="1" fontId="0" fillId="0" borderId="14" xfId="0" applyNumberFormat="1" applyBorder="1" applyAlignment="1">
      <alignment horizontal="center"/>
    </xf>
    <xf numFmtId="164" fontId="0" fillId="0" borderId="4" xfId="0" applyNumberFormat="1" applyBorder="1" applyAlignment="1">
      <alignment horizontal="center"/>
    </xf>
    <xf numFmtId="1" fontId="0" fillId="8" borderId="5" xfId="0" applyNumberFormat="1" applyFill="1" applyBorder="1" applyAlignment="1">
      <alignment horizontal="center"/>
    </xf>
    <xf numFmtId="0" fontId="0" fillId="31" borderId="12" xfId="0" applyFill="1" applyBorder="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0" fontId="0" fillId="31" borderId="0" xfId="0" applyFill="1" applyAlignment="1">
      <alignment horizontal="center" vertical="center"/>
    </xf>
    <xf numFmtId="167" fontId="0" fillId="0" borderId="0" xfId="0" applyNumberFormat="1" applyAlignment="1">
      <alignment horizontal="center" vertical="center"/>
    </xf>
    <xf numFmtId="165" fontId="0" fillId="0" borderId="13" xfId="0" applyNumberFormat="1" applyBorder="1" applyAlignment="1">
      <alignment horizontal="center" vertical="center"/>
    </xf>
    <xf numFmtId="165" fontId="43" fillId="0" borderId="17" xfId="0" applyNumberFormat="1" applyFont="1" applyBorder="1" applyAlignment="1">
      <alignment horizontal="center" vertical="center"/>
    </xf>
    <xf numFmtId="0" fontId="0" fillId="0" borderId="12" xfId="0" applyBorder="1"/>
    <xf numFmtId="0" fontId="0" fillId="31" borderId="12" xfId="0" applyFill="1" applyBorder="1" applyAlignment="1">
      <alignment horizontal="center"/>
    </xf>
    <xf numFmtId="0" fontId="0" fillId="31" borderId="0" xfId="0" applyFill="1" applyAlignment="1">
      <alignment horizontal="center"/>
    </xf>
    <xf numFmtId="1" fontId="0" fillId="32" borderId="12" xfId="0" applyNumberFormat="1" applyFill="1" applyBorder="1" applyAlignment="1">
      <alignment horizontal="center"/>
    </xf>
    <xf numFmtId="0" fontId="0" fillId="29" borderId="0" xfId="0" applyFill="1" applyAlignment="1">
      <alignment horizontal="center"/>
    </xf>
    <xf numFmtId="0" fontId="0" fillId="29" borderId="13" xfId="0" applyFill="1" applyBorder="1" applyAlignment="1">
      <alignment horizontal="center"/>
    </xf>
    <xf numFmtId="1" fontId="0" fillId="30" borderId="12" xfId="0" applyNumberFormat="1" applyFill="1" applyBorder="1" applyAlignment="1">
      <alignment horizontal="center"/>
    </xf>
    <xf numFmtId="0" fontId="0" fillId="31" borderId="13" xfId="0" applyFill="1" applyBorder="1" applyAlignment="1">
      <alignment horizontal="center"/>
    </xf>
    <xf numFmtId="1" fontId="0" fillId="0" borderId="17" xfId="0" applyNumberFormat="1" applyBorder="1" applyAlignment="1">
      <alignment horizontal="center"/>
    </xf>
    <xf numFmtId="1" fontId="0" fillId="8" borderId="13" xfId="0" applyNumberFormat="1" applyFill="1" applyBorder="1" applyAlignment="1">
      <alignment horizontal="center"/>
    </xf>
    <xf numFmtId="0" fontId="0" fillId="31" borderId="6" xfId="0" applyFill="1" applyBorder="1" applyAlignment="1">
      <alignment horizontal="center" vertical="center"/>
    </xf>
    <xf numFmtId="0" fontId="0" fillId="0" borderId="7" xfId="0" applyBorder="1" applyAlignment="1">
      <alignment horizontal="center" vertical="center"/>
    </xf>
    <xf numFmtId="166" fontId="0" fillId="0" borderId="7" xfId="0" applyNumberFormat="1" applyBorder="1" applyAlignment="1">
      <alignment horizontal="center" vertical="center"/>
    </xf>
    <xf numFmtId="0" fontId="0" fillId="31" borderId="7" xfId="0" applyFill="1" applyBorder="1" applyAlignment="1">
      <alignment horizontal="center" vertical="center"/>
    </xf>
    <xf numFmtId="167" fontId="0" fillId="0" borderId="7" xfId="0" applyNumberFormat="1" applyBorder="1" applyAlignment="1">
      <alignment horizontal="center" vertical="center"/>
    </xf>
    <xf numFmtId="165" fontId="0" fillId="0" borderId="8" xfId="0" applyNumberFormat="1" applyBorder="1" applyAlignment="1">
      <alignment horizontal="center" vertical="center"/>
    </xf>
    <xf numFmtId="165" fontId="43" fillId="0" borderId="15" xfId="0" applyNumberFormat="1" applyFont="1" applyBorder="1" applyAlignment="1">
      <alignment horizontal="center" vertical="center"/>
    </xf>
    <xf numFmtId="0" fontId="0" fillId="31" borderId="6" xfId="0" applyFill="1" applyBorder="1" applyAlignment="1">
      <alignment horizontal="center"/>
    </xf>
    <xf numFmtId="0" fontId="0" fillId="31" borderId="7" xfId="0" applyFill="1" applyBorder="1" applyAlignment="1">
      <alignment horizontal="center"/>
    </xf>
    <xf numFmtId="1" fontId="0" fillId="32" borderId="6" xfId="0" applyNumberFormat="1" applyFill="1" applyBorder="1" applyAlignment="1">
      <alignment horizontal="center"/>
    </xf>
    <xf numFmtId="0" fontId="0" fillId="29" borderId="7" xfId="0" applyFill="1" applyBorder="1" applyAlignment="1">
      <alignment horizontal="center"/>
    </xf>
    <xf numFmtId="0" fontId="0" fillId="29" borderId="8" xfId="0" applyFill="1" applyBorder="1" applyAlignment="1">
      <alignment horizontal="center"/>
    </xf>
    <xf numFmtId="1" fontId="0" fillId="30" borderId="6" xfId="0" applyNumberFormat="1" applyFill="1" applyBorder="1" applyAlignment="1">
      <alignment horizontal="center"/>
    </xf>
    <xf numFmtId="0" fontId="0" fillId="31" borderId="8" xfId="0" applyFill="1" applyBorder="1" applyAlignment="1">
      <alignment horizontal="center"/>
    </xf>
    <xf numFmtId="1" fontId="0" fillId="0" borderId="15" xfId="0" applyNumberFormat="1" applyBorder="1" applyAlignment="1">
      <alignment horizontal="center"/>
    </xf>
    <xf numFmtId="164" fontId="0" fillId="0" borderId="7" xfId="0" applyNumberFormat="1" applyBorder="1" applyAlignment="1">
      <alignment horizontal="center"/>
    </xf>
    <xf numFmtId="1" fontId="0" fillId="8" borderId="8" xfId="0" applyNumberFormat="1" applyFill="1" applyBorder="1" applyAlignment="1">
      <alignment horizontal="center"/>
    </xf>
    <xf numFmtId="164" fontId="0" fillId="0" borderId="14" xfId="0" applyNumberFormat="1" applyBorder="1" applyAlignment="1">
      <alignment horizontal="center"/>
    </xf>
    <xf numFmtId="164" fontId="0" fillId="0" borderId="17" xfId="0" applyNumberFormat="1" applyBorder="1" applyAlignment="1">
      <alignment horizontal="center"/>
    </xf>
    <xf numFmtId="164" fontId="0" fillId="31" borderId="12" xfId="0" applyNumberFormat="1" applyFill="1" applyBorder="1" applyAlignment="1">
      <alignment horizontal="center"/>
    </xf>
    <xf numFmtId="164" fontId="0" fillId="32" borderId="12" xfId="0" applyNumberFormat="1" applyFill="1" applyBorder="1" applyAlignment="1">
      <alignment horizontal="center"/>
    </xf>
    <xf numFmtId="164" fontId="0" fillId="8" borderId="13" xfId="0" applyNumberFormat="1" applyFill="1" applyBorder="1" applyAlignment="1">
      <alignment horizontal="center"/>
    </xf>
    <xf numFmtId="1" fontId="0" fillId="0" borderId="0" xfId="0" applyNumberFormat="1"/>
    <xf numFmtId="164" fontId="0" fillId="32" borderId="6" xfId="0" applyNumberFormat="1" applyFill="1" applyBorder="1" applyAlignment="1">
      <alignment horizontal="center"/>
    </xf>
    <xf numFmtId="164" fontId="0" fillId="32" borderId="3" xfId="0" applyNumberFormat="1" applyFill="1" applyBorder="1" applyAlignment="1">
      <alignment horizontal="center"/>
    </xf>
    <xf numFmtId="164" fontId="0" fillId="8" borderId="5" xfId="0" applyNumberFormat="1" applyFill="1" applyBorder="1" applyAlignment="1">
      <alignment horizontal="center"/>
    </xf>
    <xf numFmtId="164" fontId="0" fillId="0" borderId="15" xfId="0" applyNumberFormat="1" applyBorder="1" applyAlignment="1">
      <alignment horizontal="center"/>
    </xf>
    <xf numFmtId="164" fontId="0" fillId="8" borderId="8" xfId="0" applyNumberFormat="1" applyFill="1" applyBorder="1" applyAlignment="1">
      <alignment horizontal="center"/>
    </xf>
    <xf numFmtId="165" fontId="43" fillId="0" borderId="4" xfId="0" applyNumberFormat="1" applyFont="1" applyBorder="1" applyAlignment="1">
      <alignment horizontal="center" vertical="center"/>
    </xf>
    <xf numFmtId="0" fontId="0" fillId="0" borderId="3" xfId="0" applyBorder="1" applyAlignment="1">
      <alignment horizontal="left" wrapText="1"/>
    </xf>
    <xf numFmtId="164" fontId="0" fillId="29" borderId="4" xfId="0" applyNumberFormat="1" applyFill="1" applyBorder="1" applyAlignment="1">
      <alignment horizontal="center"/>
    </xf>
    <xf numFmtId="1" fontId="0" fillId="29" borderId="4" xfId="0" applyNumberFormat="1" applyFill="1" applyBorder="1" applyAlignment="1">
      <alignment horizontal="center"/>
    </xf>
    <xf numFmtId="165" fontId="43" fillId="0" borderId="0" xfId="0" applyNumberFormat="1" applyFont="1" applyAlignment="1">
      <alignment horizontal="center" vertical="center"/>
    </xf>
    <xf numFmtId="164" fontId="0" fillId="29" borderId="0" xfId="0" applyNumberFormat="1" applyFill="1" applyAlignment="1">
      <alignment horizontal="center"/>
    </xf>
    <xf numFmtId="1" fontId="0" fillId="29" borderId="0" xfId="0" applyNumberFormat="1" applyFill="1" applyAlignment="1">
      <alignment horizontal="center"/>
    </xf>
    <xf numFmtId="0" fontId="0" fillId="32" borderId="12" xfId="0" applyFill="1" applyBorder="1" applyAlignment="1">
      <alignment horizontal="center"/>
    </xf>
    <xf numFmtId="2" fontId="0" fillId="32" borderId="12" xfId="0" applyNumberFormat="1" applyFill="1" applyBorder="1" applyAlignment="1">
      <alignment horizontal="center"/>
    </xf>
    <xf numFmtId="0" fontId="0" fillId="31" borderId="3" xfId="0" applyFill="1" applyBorder="1" applyAlignment="1">
      <alignment horizontal="left"/>
    </xf>
    <xf numFmtId="1" fontId="0" fillId="29" borderId="5" xfId="0" applyNumberFormat="1" applyFill="1" applyBorder="1" applyAlignment="1">
      <alignment horizontal="center"/>
    </xf>
    <xf numFmtId="165" fontId="43" fillId="0" borderId="7" xfId="0" applyNumberFormat="1" applyFont="1" applyBorder="1" applyAlignment="1">
      <alignment horizontal="center" vertical="center"/>
    </xf>
    <xf numFmtId="164" fontId="0" fillId="29" borderId="7" xfId="0" applyNumberFormat="1" applyFill="1" applyBorder="1" applyAlignment="1">
      <alignment horizontal="center"/>
    </xf>
    <xf numFmtId="1" fontId="0" fillId="29" borderId="8" xfId="0" applyNumberFormat="1" applyFill="1" applyBorder="1" applyAlignment="1">
      <alignment horizontal="center"/>
    </xf>
    <xf numFmtId="1" fontId="0" fillId="29" borderId="7" xfId="0" applyNumberFormat="1" applyFill="1" applyBorder="1" applyAlignment="1">
      <alignment horizontal="center"/>
    </xf>
    <xf numFmtId="0" fontId="30" fillId="31" borderId="3" xfId="0" applyFont="1" applyFill="1" applyBorder="1" applyAlignment="1">
      <alignment horizontal="center"/>
    </xf>
    <xf numFmtId="0" fontId="0" fillId="32" borderId="3" xfId="0" applyFill="1" applyBorder="1" applyAlignment="1">
      <alignment horizontal="left"/>
    </xf>
    <xf numFmtId="2" fontId="0" fillId="29" borderId="4" xfId="0" applyNumberFormat="1" applyFill="1" applyBorder="1" applyAlignment="1">
      <alignment horizontal="center"/>
    </xf>
    <xf numFmtId="2" fontId="0" fillId="29" borderId="5" xfId="0" applyNumberFormat="1" applyFill="1" applyBorder="1" applyAlignment="1">
      <alignment horizontal="center"/>
    </xf>
    <xf numFmtId="2" fontId="0" fillId="32" borderId="3" xfId="0" applyNumberFormat="1" applyFill="1" applyBorder="1" applyAlignment="1">
      <alignment horizontal="left"/>
    </xf>
    <xf numFmtId="1" fontId="0" fillId="29" borderId="13" xfId="0" applyNumberFormat="1" applyFill="1" applyBorder="1" applyAlignment="1">
      <alignment horizontal="center"/>
    </xf>
    <xf numFmtId="0" fontId="0" fillId="32" borderId="12" xfId="0" applyFill="1" applyBorder="1" applyAlignment="1">
      <alignment horizontal="left"/>
    </xf>
    <xf numFmtId="2" fontId="0" fillId="29" borderId="0" xfId="0" applyNumberFormat="1" applyFill="1" applyAlignment="1">
      <alignment horizontal="center"/>
    </xf>
    <xf numFmtId="2" fontId="0" fillId="29" borderId="13" xfId="0" applyNumberFormat="1" applyFill="1" applyBorder="1" applyAlignment="1">
      <alignment horizontal="center"/>
    </xf>
    <xf numFmtId="2" fontId="0" fillId="32" borderId="12" xfId="0" applyNumberFormat="1" applyFill="1" applyBorder="1" applyAlignment="1">
      <alignment horizontal="left"/>
    </xf>
    <xf numFmtId="0" fontId="0" fillId="32" borderId="3" xfId="0" applyFill="1" applyBorder="1" applyAlignment="1">
      <alignment horizontal="center"/>
    </xf>
    <xf numFmtId="1" fontId="0" fillId="0" borderId="7" xfId="0" applyNumberFormat="1" applyBorder="1" applyAlignment="1">
      <alignment horizontal="center"/>
    </xf>
    <xf numFmtId="164" fontId="0" fillId="29" borderId="5" xfId="0" applyNumberFormat="1" applyFill="1" applyBorder="1" applyAlignment="1">
      <alignment horizontal="center"/>
    </xf>
    <xf numFmtId="1" fontId="0" fillId="30" borderId="5" xfId="0" applyNumberFormat="1" applyFill="1" applyBorder="1" applyAlignment="1">
      <alignment horizontal="center"/>
    </xf>
    <xf numFmtId="1" fontId="0" fillId="0" borderId="4" xfId="0" applyNumberFormat="1" applyBorder="1" applyAlignment="1">
      <alignment horizontal="center"/>
    </xf>
    <xf numFmtId="164" fontId="0" fillId="29" borderId="13" xfId="0" applyNumberFormat="1" applyFill="1" applyBorder="1" applyAlignment="1">
      <alignment horizontal="center"/>
    </xf>
    <xf numFmtId="1" fontId="0" fillId="30" borderId="13" xfId="0" applyNumberFormat="1" applyFill="1" applyBorder="1" applyAlignment="1">
      <alignment horizontal="center"/>
    </xf>
    <xf numFmtId="1" fontId="0" fillId="0" borderId="0" xfId="0" applyNumberFormat="1" applyAlignment="1">
      <alignment horizontal="center"/>
    </xf>
    <xf numFmtId="164" fontId="0" fillId="30" borderId="13" xfId="0" applyNumberFormat="1" applyFill="1" applyBorder="1" applyAlignment="1">
      <alignment horizontal="center"/>
    </xf>
    <xf numFmtId="164" fontId="0" fillId="29" borderId="8" xfId="0" applyNumberFormat="1" applyFill="1" applyBorder="1" applyAlignment="1">
      <alignment horizontal="center"/>
    </xf>
    <xf numFmtId="1" fontId="0" fillId="30" borderId="8" xfId="0" applyNumberFormat="1" applyFill="1" applyBorder="1" applyAlignment="1">
      <alignment horizontal="center"/>
    </xf>
    <xf numFmtId="1" fontId="0" fillId="0" borderId="3" xfId="0" applyNumberFormat="1" applyBorder="1" applyAlignment="1">
      <alignment horizontal="center"/>
    </xf>
    <xf numFmtId="1" fontId="0" fillId="0" borderId="12" xfId="0" applyNumberFormat="1" applyBorder="1" applyAlignment="1">
      <alignment horizontal="center"/>
    </xf>
    <xf numFmtId="0" fontId="0" fillId="0" borderId="15" xfId="0" applyBorder="1"/>
    <xf numFmtId="1" fontId="0" fillId="0" borderId="6" xfId="0" applyNumberFormat="1" applyBorder="1" applyAlignment="1">
      <alignment horizontal="center"/>
    </xf>
    <xf numFmtId="0" fontId="0" fillId="31" borderId="9" xfId="0" applyFill="1" applyBorder="1" applyAlignment="1">
      <alignment horizontal="center" vertical="center"/>
    </xf>
    <xf numFmtId="0" fontId="0" fillId="0" borderId="10" xfId="0" applyBorder="1" applyAlignment="1">
      <alignment horizontal="center" vertical="center"/>
    </xf>
    <xf numFmtId="166" fontId="0" fillId="0" borderId="10" xfId="0" applyNumberFormat="1" applyBorder="1" applyAlignment="1">
      <alignment horizontal="center" vertical="center"/>
    </xf>
    <xf numFmtId="0" fontId="0" fillId="31" borderId="10" xfId="0" applyFill="1" applyBorder="1" applyAlignment="1">
      <alignment horizontal="center" vertical="center"/>
    </xf>
    <xf numFmtId="167" fontId="0" fillId="0" borderId="10" xfId="0" applyNumberFormat="1" applyBorder="1" applyAlignment="1">
      <alignment horizontal="center" vertical="center"/>
    </xf>
    <xf numFmtId="165" fontId="0" fillId="0" borderId="11" xfId="0" applyNumberFormat="1" applyBorder="1" applyAlignment="1">
      <alignment horizontal="center" vertical="center"/>
    </xf>
    <xf numFmtId="165" fontId="43" fillId="0" borderId="10" xfId="0" applyNumberFormat="1" applyFont="1" applyBorder="1" applyAlignment="1">
      <alignment horizontal="center" vertical="center"/>
    </xf>
    <xf numFmtId="0" fontId="0" fillId="0" borderId="9" xfId="0" applyBorder="1"/>
    <xf numFmtId="0" fontId="0" fillId="31" borderId="9" xfId="0" applyFill="1" applyBorder="1" applyAlignment="1">
      <alignment horizontal="center"/>
    </xf>
    <xf numFmtId="0" fontId="0" fillId="31" borderId="10" xfId="0" applyFill="1" applyBorder="1" applyAlignment="1">
      <alignment horizontal="center"/>
    </xf>
    <xf numFmtId="2" fontId="0" fillId="32" borderId="9" xfId="0" applyNumberFormat="1" applyFill="1" applyBorder="1" applyAlignment="1">
      <alignment horizontal="center"/>
    </xf>
    <xf numFmtId="0" fontId="0" fillId="29" borderId="10" xfId="0" applyFill="1" applyBorder="1" applyAlignment="1">
      <alignment horizontal="center"/>
    </xf>
    <xf numFmtId="0" fontId="0" fillId="29" borderId="11" xfId="0" applyFill="1" applyBorder="1" applyAlignment="1">
      <alignment horizontal="center"/>
    </xf>
    <xf numFmtId="164" fontId="0" fillId="30" borderId="9" xfId="0" applyNumberFormat="1" applyFill="1" applyBorder="1" applyAlignment="1">
      <alignment horizontal="center"/>
    </xf>
    <xf numFmtId="0" fontId="0" fillId="31" borderId="11" xfId="0" applyFill="1" applyBorder="1" applyAlignment="1">
      <alignment horizontal="center"/>
    </xf>
    <xf numFmtId="1" fontId="0" fillId="0" borderId="16" xfId="0" applyNumberFormat="1" applyBorder="1" applyAlignment="1">
      <alignment horizontal="center"/>
    </xf>
    <xf numFmtId="1" fontId="0" fillId="0" borderId="9" xfId="0" applyNumberFormat="1" applyBorder="1" applyAlignment="1">
      <alignment horizontal="center"/>
    </xf>
    <xf numFmtId="164" fontId="0" fillId="8" borderId="11" xfId="0" applyNumberFormat="1" applyFill="1" applyBorder="1" applyAlignment="1">
      <alignment horizontal="center"/>
    </xf>
    <xf numFmtId="2" fontId="0" fillId="31" borderId="3" xfId="0" applyNumberFormat="1" applyFill="1" applyBorder="1" applyAlignment="1">
      <alignment horizontal="center"/>
    </xf>
    <xf numFmtId="2" fontId="0" fillId="32" borderId="3" xfId="0" applyNumberFormat="1" applyFill="1" applyBorder="1" applyAlignment="1">
      <alignment horizontal="center"/>
    </xf>
    <xf numFmtId="164" fontId="0" fillId="0" borderId="3" xfId="0" applyNumberFormat="1" applyBorder="1" applyAlignment="1">
      <alignment horizontal="center"/>
    </xf>
    <xf numFmtId="2" fontId="0" fillId="8" borderId="5" xfId="0" applyNumberFormat="1" applyFill="1" applyBorder="1" applyAlignment="1">
      <alignment horizontal="center"/>
    </xf>
    <xf numFmtId="2" fontId="0" fillId="31" borderId="12" xfId="0" applyNumberFormat="1" applyFill="1" applyBorder="1" applyAlignment="1">
      <alignment horizontal="center"/>
    </xf>
    <xf numFmtId="164" fontId="0" fillId="0" borderId="12" xfId="0" applyNumberFormat="1" applyBorder="1" applyAlignment="1">
      <alignment horizontal="center"/>
    </xf>
    <xf numFmtId="2" fontId="0" fillId="8" borderId="13" xfId="0" applyNumberFormat="1" applyFill="1" applyBorder="1" applyAlignment="1">
      <alignment horizontal="center"/>
    </xf>
    <xf numFmtId="2" fontId="0" fillId="31" borderId="0" xfId="0" applyNumberFormat="1" applyFill="1" applyAlignment="1">
      <alignment horizontal="center"/>
    </xf>
    <xf numFmtId="2" fontId="0" fillId="32" borderId="6" xfId="0" applyNumberFormat="1" applyFill="1" applyBorder="1" applyAlignment="1">
      <alignment horizontal="center"/>
    </xf>
    <xf numFmtId="2" fontId="0" fillId="29" borderId="7" xfId="0" applyNumberFormat="1" applyFill="1" applyBorder="1" applyAlignment="1">
      <alignment horizontal="center"/>
    </xf>
    <xf numFmtId="2" fontId="0" fillId="29" borderId="8" xfId="0" applyNumberFormat="1" applyFill="1" applyBorder="1" applyAlignment="1">
      <alignment horizontal="center"/>
    </xf>
    <xf numFmtId="164" fontId="0" fillId="0" borderId="6" xfId="0" applyNumberFormat="1" applyBorder="1" applyAlignment="1">
      <alignment horizontal="center"/>
    </xf>
    <xf numFmtId="2" fontId="0" fillId="8" borderId="8" xfId="0" applyNumberFormat="1" applyFill="1" applyBorder="1" applyAlignment="1">
      <alignment horizontal="center"/>
    </xf>
    <xf numFmtId="166" fontId="0" fillId="0" borderId="13" xfId="0" applyNumberFormat="1" applyBorder="1" applyAlignment="1">
      <alignment horizontal="center" vertical="center"/>
    </xf>
    <xf numFmtId="166" fontId="43" fillId="0" borderId="0" xfId="0" applyNumberFormat="1" applyFont="1" applyAlignment="1">
      <alignment horizontal="center" vertical="center"/>
    </xf>
    <xf numFmtId="164" fontId="0" fillId="30" borderId="5" xfId="0" applyNumberFormat="1" applyFill="1" applyBorder="1" applyAlignment="1">
      <alignment horizontal="center"/>
    </xf>
    <xf numFmtId="2" fontId="0" fillId="30" borderId="13" xfId="0" applyNumberFormat="1" applyFill="1" applyBorder="1" applyAlignment="1">
      <alignment horizontal="center"/>
    </xf>
    <xf numFmtId="164" fontId="0" fillId="31" borderId="0" xfId="0" applyNumberFormat="1" applyFill="1" applyAlignment="1">
      <alignment horizontal="center" vertical="center"/>
    </xf>
    <xf numFmtId="0" fontId="0" fillId="0" borderId="17" xfId="0" applyBorder="1" applyAlignment="1">
      <alignment horizontal="center"/>
    </xf>
    <xf numFmtId="2" fontId="0" fillId="30" borderId="8" xfId="0" applyNumberFormat="1" applyFill="1" applyBorder="1" applyAlignment="1">
      <alignment horizontal="center"/>
    </xf>
    <xf numFmtId="166" fontId="0" fillId="0" borderId="5" xfId="0" applyNumberFormat="1" applyBorder="1" applyAlignment="1">
      <alignment horizontal="center" vertical="center"/>
    </xf>
    <xf numFmtId="166" fontId="43" fillId="0" borderId="4" xfId="0" applyNumberFormat="1" applyFont="1" applyBorder="1" applyAlignment="1">
      <alignment horizontal="center" vertical="center"/>
    </xf>
    <xf numFmtId="166" fontId="0" fillId="0" borderId="8" xfId="0" applyNumberFormat="1" applyBorder="1" applyAlignment="1">
      <alignment horizontal="center" vertical="center"/>
    </xf>
    <xf numFmtId="166" fontId="43" fillId="0" borderId="7" xfId="0" applyNumberFormat="1" applyFont="1" applyBorder="1" applyAlignment="1">
      <alignment horizontal="center" vertical="center"/>
    </xf>
    <xf numFmtId="2" fontId="0" fillId="31" borderId="6" xfId="0" applyNumberFormat="1" applyFill="1" applyBorder="1" applyAlignment="1">
      <alignment horizontal="center"/>
    </xf>
    <xf numFmtId="165" fontId="43" fillId="0" borderId="16" xfId="0" applyNumberFormat="1" applyFont="1" applyBorder="1" applyAlignment="1">
      <alignment horizontal="center" vertical="center"/>
    </xf>
    <xf numFmtId="2" fontId="0" fillId="31" borderId="9" xfId="0" applyNumberFormat="1" applyFill="1" applyBorder="1" applyAlignment="1">
      <alignment horizontal="center"/>
    </xf>
    <xf numFmtId="164" fontId="0" fillId="32" borderId="9" xfId="0" applyNumberFormat="1" applyFill="1" applyBorder="1" applyAlignment="1">
      <alignment horizontal="center"/>
    </xf>
    <xf numFmtId="0" fontId="0" fillId="30" borderId="9" xfId="0" applyFill="1" applyBorder="1" applyAlignment="1">
      <alignment horizontal="center"/>
    </xf>
    <xf numFmtId="164" fontId="0" fillId="0" borderId="10" xfId="0" applyNumberFormat="1" applyBorder="1" applyAlignment="1">
      <alignment horizontal="center"/>
    </xf>
    <xf numFmtId="0" fontId="0" fillId="32" borderId="9" xfId="0" applyFill="1" applyBorder="1" applyAlignment="1">
      <alignment horizontal="center"/>
    </xf>
    <xf numFmtId="1" fontId="0" fillId="30" borderId="9" xfId="0" applyNumberFormat="1" applyFill="1" applyBorder="1" applyAlignment="1">
      <alignment horizontal="center"/>
    </xf>
    <xf numFmtId="164" fontId="0" fillId="0" borderId="16" xfId="0" applyNumberFormat="1" applyBorder="1" applyAlignment="1">
      <alignment horizontal="center"/>
    </xf>
    <xf numFmtId="1" fontId="0" fillId="31" borderId="3" xfId="0" applyNumberFormat="1" applyFill="1" applyBorder="1" applyAlignment="1">
      <alignment horizontal="center"/>
    </xf>
    <xf numFmtId="1" fontId="0" fillId="31" borderId="12" xfId="0" applyNumberFormat="1" applyFill="1" applyBorder="1" applyAlignment="1">
      <alignment horizontal="center"/>
    </xf>
    <xf numFmtId="1" fontId="0" fillId="31" borderId="6" xfId="0" applyNumberFormat="1" applyFill="1" applyBorder="1" applyAlignment="1">
      <alignment horizontal="center"/>
    </xf>
    <xf numFmtId="49" fontId="43" fillId="0" borderId="4" xfId="1" applyNumberFormat="1" applyFont="1" applyBorder="1" applyAlignment="1" applyProtection="1">
      <alignment horizontal="center"/>
    </xf>
    <xf numFmtId="49" fontId="43" fillId="0" borderId="0" xfId="1" applyNumberFormat="1" applyFont="1" applyBorder="1" applyAlignment="1" applyProtection="1">
      <alignment horizontal="center"/>
    </xf>
    <xf numFmtId="0" fontId="30" fillId="31" borderId="12" xfId="0" applyFont="1" applyFill="1" applyBorder="1" applyAlignment="1">
      <alignment horizontal="center"/>
    </xf>
    <xf numFmtId="49" fontId="43" fillId="0" borderId="7" xfId="1" applyNumberFormat="1" applyFont="1" applyBorder="1" applyAlignment="1" applyProtection="1">
      <alignment horizontal="center"/>
    </xf>
    <xf numFmtId="0" fontId="0" fillId="32" borderId="6" xfId="0" applyFill="1" applyBorder="1" applyAlignment="1">
      <alignment horizontal="center"/>
    </xf>
    <xf numFmtId="0" fontId="0" fillId="0" borderId="17" xfId="0" applyBorder="1"/>
    <xf numFmtId="1" fontId="0" fillId="8" borderId="11" xfId="0" applyNumberFormat="1" applyFill="1" applyBorder="1" applyAlignment="1">
      <alignment horizontal="center"/>
    </xf>
    <xf numFmtId="164" fontId="0" fillId="31" borderId="4" xfId="0" applyNumberFormat="1" applyFill="1" applyBorder="1" applyAlignment="1">
      <alignment horizontal="center" vertical="center"/>
    </xf>
    <xf numFmtId="164" fontId="0" fillId="31" borderId="7" xfId="0" applyNumberFormat="1" applyFill="1" applyBorder="1" applyAlignment="1">
      <alignment horizontal="center" vertical="center"/>
    </xf>
    <xf numFmtId="0" fontId="0" fillId="26" borderId="3" xfId="0" applyFill="1" applyBorder="1" applyAlignment="1">
      <alignment horizontal="center"/>
    </xf>
    <xf numFmtId="1" fontId="0" fillId="26" borderId="3" xfId="0" applyNumberFormat="1" applyFill="1" applyBorder="1" applyAlignment="1">
      <alignment horizontal="center"/>
    </xf>
    <xf numFmtId="0" fontId="0" fillId="26" borderId="12" xfId="0" applyFill="1" applyBorder="1" applyAlignment="1">
      <alignment horizontal="center"/>
    </xf>
    <xf numFmtId="1" fontId="0" fillId="26" borderId="12" xfId="0" applyNumberFormat="1" applyFill="1" applyBorder="1" applyAlignment="1">
      <alignment horizontal="center"/>
    </xf>
    <xf numFmtId="0" fontId="0" fillId="26" borderId="6" xfId="0" applyFill="1" applyBorder="1" applyAlignment="1">
      <alignment horizontal="center"/>
    </xf>
    <xf numFmtId="1" fontId="0" fillId="26" borderId="6" xfId="0" applyNumberFormat="1" applyFill="1" applyBorder="1" applyAlignment="1">
      <alignment horizontal="center"/>
    </xf>
    <xf numFmtId="164" fontId="0" fillId="31" borderId="0" xfId="0" applyNumberFormat="1" applyFill="1" applyAlignment="1">
      <alignment horizontal="center"/>
    </xf>
    <xf numFmtId="164" fontId="0" fillId="31" borderId="7" xfId="0" applyNumberFormat="1" applyFill="1" applyBorder="1" applyAlignment="1">
      <alignment horizontal="center"/>
    </xf>
    <xf numFmtId="49" fontId="43" fillId="0" borderId="10" xfId="1" applyNumberFormat="1" applyFont="1" applyBorder="1" applyAlignment="1" applyProtection="1">
      <alignment horizontal="center"/>
    </xf>
    <xf numFmtId="2" fontId="0" fillId="31" borderId="4" xfId="0" applyNumberFormat="1" applyFill="1" applyBorder="1" applyAlignment="1">
      <alignment horizontal="center" vertical="center"/>
    </xf>
    <xf numFmtId="2" fontId="0" fillId="31" borderId="7" xfId="0" applyNumberFormat="1" applyFill="1" applyBorder="1" applyAlignment="1">
      <alignment horizontal="center" vertical="center"/>
    </xf>
    <xf numFmtId="166" fontId="0" fillId="0" borderId="0" xfId="0" applyNumberFormat="1"/>
    <xf numFmtId="164" fontId="19" fillId="0" borderId="7" xfId="0" applyNumberFormat="1" applyFont="1" applyBorder="1"/>
    <xf numFmtId="165" fontId="0" fillId="0" borderId="7" xfId="0" applyNumberFormat="1" applyBorder="1"/>
    <xf numFmtId="2" fontId="0" fillId="0" borderId="7" xfId="0" applyNumberFormat="1" applyBorder="1"/>
    <xf numFmtId="164" fontId="0" fillId="0" borderId="7" xfId="0" applyNumberFormat="1" applyBorder="1"/>
    <xf numFmtId="3" fontId="5" fillId="8" borderId="0" xfId="0" applyNumberFormat="1" applyFont="1" applyFill="1" applyAlignment="1">
      <alignment horizontal="center"/>
    </xf>
    <xf numFmtId="3" fontId="5" fillId="0" borderId="0" xfId="0" applyNumberFormat="1" applyFont="1" applyAlignment="1">
      <alignment horizontal="center"/>
    </xf>
    <xf numFmtId="0" fontId="53" fillId="0" borderId="0" xfId="4" applyFont="1" applyAlignment="1">
      <alignment horizontal="center"/>
    </xf>
    <xf numFmtId="2" fontId="5" fillId="33" borderId="0" xfId="0" applyNumberFormat="1" applyFont="1" applyFill="1" applyAlignment="1">
      <alignment horizontal="center"/>
    </xf>
    <xf numFmtId="164" fontId="5" fillId="33" borderId="0" xfId="0" applyNumberFormat="1" applyFont="1" applyFill="1" applyAlignment="1">
      <alignment horizontal="center"/>
    </xf>
    <xf numFmtId="0" fontId="18" fillId="17" borderId="0" xfId="2" applyFont="1" applyFill="1" applyAlignment="1">
      <alignment horizontal="center" vertical="center" wrapText="1"/>
    </xf>
    <xf numFmtId="0" fontId="18" fillId="14" borderId="0" xfId="0" applyFont="1" applyFill="1" applyAlignment="1">
      <alignment horizontal="center" vertical="center"/>
    </xf>
    <xf numFmtId="0" fontId="21" fillId="15" borderId="0" xfId="3" applyFont="1" applyFill="1" applyAlignment="1">
      <alignment horizontal="center"/>
    </xf>
    <xf numFmtId="0" fontId="21" fillId="16" borderId="0" xfId="3" applyFont="1" applyFill="1" applyAlignment="1">
      <alignment horizontal="center" vertical="center"/>
    </xf>
    <xf numFmtId="0" fontId="19" fillId="18" borderId="0" xfId="0" applyFont="1" applyFill="1" applyAlignment="1">
      <alignment horizontal="center" vertical="center" wrapText="1"/>
    </xf>
    <xf numFmtId="0" fontId="19" fillId="19" borderId="0" xfId="0" applyFont="1" applyFill="1" applyAlignment="1">
      <alignment horizontal="center"/>
    </xf>
    <xf numFmtId="0" fontId="19" fillId="20" borderId="0" xfId="0" applyFont="1" applyFill="1" applyAlignment="1">
      <alignment horizontal="center"/>
    </xf>
    <xf numFmtId="0" fontId="35" fillId="0" borderId="7" xfId="2" applyFont="1" applyBorder="1" applyAlignment="1">
      <alignment horizontal="center" vertical="center" wrapText="1"/>
    </xf>
    <xf numFmtId="0" fontId="16" fillId="0" borderId="0" xfId="0" applyFont="1" applyAlignment="1">
      <alignment horizontal="center"/>
    </xf>
    <xf numFmtId="0" fontId="0" fillId="0" borderId="0" xfId="0" applyAlignment="1">
      <alignment horizontal="left" vertical="top" wrapText="1"/>
    </xf>
    <xf numFmtId="0" fontId="19" fillId="0" borderId="3"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19" fillId="0" borderId="4" xfId="0" applyFont="1" applyBorder="1" applyAlignment="1">
      <alignment horizontal="center" wrapText="1"/>
    </xf>
    <xf numFmtId="0" fontId="19" fillId="0" borderId="7" xfId="0" applyFont="1" applyBorder="1" applyAlignment="1">
      <alignment horizontal="center" wrapText="1"/>
    </xf>
    <xf numFmtId="0" fontId="19" fillId="0" borderId="10" xfId="0" applyFont="1" applyBorder="1" applyAlignment="1">
      <alignment horizontal="center"/>
    </xf>
    <xf numFmtId="0" fontId="0" fillId="0" borderId="0" xfId="0" applyFont="1"/>
  </cellXfs>
  <cellStyles count="9">
    <cellStyle name="20% - Accent2" xfId="7" builtinId="34"/>
    <cellStyle name="20% - Accent4" xfId="8" builtinId="42"/>
    <cellStyle name="Check Cell" xfId="6" builtinId="23"/>
    <cellStyle name="Hyperlink" xfId="1" builtinId="8"/>
    <cellStyle name="Normal" xfId="0" builtinId="0"/>
    <cellStyle name="Normal 2" xfId="2" xr:uid="{A9F6016E-686B-4EF9-AFC4-DFC9D5830E67}"/>
    <cellStyle name="Normal_Access Export Results Table" xfId="4" xr:uid="{F4091440-142E-4894-956F-C2D476F8A25C}"/>
    <cellStyle name="Normal_Sheet1" xfId="3" xr:uid="{85185758-F89B-4FE7-B389-CE79B9DE8541}"/>
    <cellStyle name="Output" xfId="5" builtinId="21"/>
  </cellStyles>
  <dxfs count="39">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171451</xdr:colOff>
      <xdr:row>3</xdr:row>
      <xdr:rowOff>104776</xdr:rowOff>
    </xdr:from>
    <xdr:to>
      <xdr:col>19</xdr:col>
      <xdr:colOff>320438</xdr:colOff>
      <xdr:row>13</xdr:row>
      <xdr:rowOff>152400</xdr:rowOff>
    </xdr:to>
    <xdr:pic>
      <xdr:nvPicPr>
        <xdr:cNvPr id="2" name="Picture 1">
          <a:extLst>
            <a:ext uri="{FF2B5EF4-FFF2-40B4-BE49-F238E27FC236}">
              <a16:creationId xmlns:a16="http://schemas.microsoft.com/office/drawing/2014/main" id="{88BD02F1-C53A-4388-9198-C949E65B590B}"/>
            </a:ext>
          </a:extLst>
        </xdr:cNvPr>
        <xdr:cNvPicPr>
          <a:picLocks noChangeAspect="1"/>
        </xdr:cNvPicPr>
      </xdr:nvPicPr>
      <xdr:blipFill>
        <a:blip xmlns:r="http://schemas.openxmlformats.org/officeDocument/2006/relationships" r:embed="rId1"/>
        <a:stretch>
          <a:fillRect/>
        </a:stretch>
      </xdr:blipFill>
      <xdr:spPr>
        <a:xfrm>
          <a:off x="11115676" y="485776"/>
          <a:ext cx="5025787" cy="1952624"/>
        </a:xfrm>
        <a:prstGeom prst="rect">
          <a:avLst/>
        </a:prstGeom>
      </xdr:spPr>
    </xdr:pic>
    <xdr:clientData/>
  </xdr:twoCellAnchor>
  <xdr:twoCellAnchor editAs="oneCell">
    <xdr:from>
      <xdr:col>11</xdr:col>
      <xdr:colOff>171451</xdr:colOff>
      <xdr:row>14</xdr:row>
      <xdr:rowOff>9525</xdr:rowOff>
    </xdr:from>
    <xdr:to>
      <xdr:col>19</xdr:col>
      <xdr:colOff>340073</xdr:colOff>
      <xdr:row>47</xdr:row>
      <xdr:rowOff>85725</xdr:rowOff>
    </xdr:to>
    <xdr:pic>
      <xdr:nvPicPr>
        <xdr:cNvPr id="4" name="Picture 3">
          <a:extLst>
            <a:ext uri="{FF2B5EF4-FFF2-40B4-BE49-F238E27FC236}">
              <a16:creationId xmlns:a16="http://schemas.microsoft.com/office/drawing/2014/main" id="{6AED5CEB-4F36-4882-8F71-FAAFC8E08494}"/>
            </a:ext>
          </a:extLst>
        </xdr:cNvPr>
        <xdr:cNvPicPr>
          <a:picLocks noChangeAspect="1"/>
        </xdr:cNvPicPr>
      </xdr:nvPicPr>
      <xdr:blipFill>
        <a:blip xmlns:r="http://schemas.openxmlformats.org/officeDocument/2006/relationships" r:embed="rId2"/>
        <a:stretch>
          <a:fillRect/>
        </a:stretch>
      </xdr:blipFill>
      <xdr:spPr>
        <a:xfrm>
          <a:off x="11115676" y="2486025"/>
          <a:ext cx="5045422" cy="6362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89808</xdr:colOff>
      <xdr:row>1</xdr:row>
      <xdr:rowOff>96610</xdr:rowOff>
    </xdr:from>
    <xdr:to>
      <xdr:col>7</xdr:col>
      <xdr:colOff>1706349</xdr:colOff>
      <xdr:row>14</xdr:row>
      <xdr:rowOff>94938</xdr:rowOff>
    </xdr:to>
    <xdr:pic>
      <xdr:nvPicPr>
        <xdr:cNvPr id="2" name="Picture 1">
          <a:extLst>
            <a:ext uri="{FF2B5EF4-FFF2-40B4-BE49-F238E27FC236}">
              <a16:creationId xmlns:a16="http://schemas.microsoft.com/office/drawing/2014/main" id="{263B55AB-56F0-41AD-9412-3D4112BEBABC}"/>
            </a:ext>
          </a:extLst>
        </xdr:cNvPr>
        <xdr:cNvPicPr>
          <a:picLocks noChangeAspect="1"/>
        </xdr:cNvPicPr>
      </xdr:nvPicPr>
      <xdr:blipFill>
        <a:blip xmlns:r="http://schemas.openxmlformats.org/officeDocument/2006/relationships" r:embed="rId1"/>
        <a:stretch>
          <a:fillRect/>
        </a:stretch>
      </xdr:blipFill>
      <xdr:spPr>
        <a:xfrm>
          <a:off x="89808" y="287110"/>
          <a:ext cx="6359991" cy="25034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dams, Merrin (L&amp;W, Lucas Heights)" id="{F59F18B1-1396-4181-9D8E-30C0D812D366}" userId="S::ada128@csiro.au::f57804eb-5a54-414c-8d6d-a9dce3a6228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32" dT="2020-11-02T07:07:54.26" personId="{F59F18B1-1396-4181-9D8E-30C0D812D366}" id="{6228E861-6724-4707-842C-7BC6D813E8B6}">
    <text>All treatments and throughout test duration</text>
  </threadedComment>
  <threadedComment ref="R33" dT="2020-11-02T07:07:54.26" personId="{F59F18B1-1396-4181-9D8E-30C0D812D366}" id="{59CB21CF-1732-4054-9E9F-F62AC6511BF0}">
    <text>All treatments and throughout test duration</text>
  </threadedComment>
  <threadedComment ref="R34" dT="2020-11-02T07:07:54.26" personId="{F59F18B1-1396-4181-9D8E-30C0D812D366}" id="{18BDA09D-68CE-44BF-91DE-D1A2402461E6}">
    <text>All treatments and throughout test duration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7D243-5AB7-4A09-9EB1-C9BD9F764AFE}">
  <dimension ref="A1:CQ180"/>
  <sheetViews>
    <sheetView zoomScale="90" zoomScaleNormal="90" workbookViewId="0">
      <selection sqref="A1:B1"/>
    </sheetView>
  </sheetViews>
  <sheetFormatPr baseColWidth="10" defaultColWidth="9.1640625" defaultRowHeight="15" x14ac:dyDescent="0.2"/>
  <cols>
    <col min="1" max="1" width="13.83203125" customWidth="1"/>
    <col min="2" max="2" width="9" customWidth="1"/>
    <col min="3" max="3" width="13" customWidth="1"/>
    <col min="4" max="4" width="32.33203125" customWidth="1"/>
    <col min="5" max="5" width="12.1640625" customWidth="1"/>
    <col min="6" max="6" width="22.6640625" customWidth="1"/>
    <col min="7" max="8" width="15.1640625" customWidth="1"/>
    <col min="9" max="9" width="22.5" customWidth="1"/>
    <col min="10" max="10" width="19.6640625" customWidth="1"/>
    <col min="11" max="11" width="40.5" bestFit="1" customWidth="1"/>
    <col min="12" max="15" width="12.1640625" customWidth="1"/>
    <col min="16" max="17" width="12.6640625" customWidth="1"/>
    <col min="18" max="18" width="25.6640625" style="87" customWidth="1"/>
    <col min="19" max="20" width="12.6640625" style="87" customWidth="1"/>
    <col min="21" max="21" width="18.83203125" bestFit="1" customWidth="1"/>
    <col min="22" max="22" width="17.6640625" customWidth="1"/>
    <col min="23" max="23" width="12.6640625" customWidth="1"/>
    <col min="24" max="24" width="20.5" customWidth="1"/>
    <col min="25" max="26" width="12.6640625" customWidth="1"/>
    <col min="27" max="27" width="13.6640625" customWidth="1"/>
    <col min="28" max="29" width="19" customWidth="1"/>
    <col min="30" max="31" width="18.5" customWidth="1"/>
    <col min="33" max="34" width="9.1640625" style="16"/>
    <col min="59" max="59" width="11.83203125" bestFit="1" customWidth="1"/>
    <col min="61" max="61" width="12.5" bestFit="1" customWidth="1"/>
  </cols>
  <sheetData>
    <row r="1" spans="1:62" x14ac:dyDescent="0.2">
      <c r="A1" s="175" t="s">
        <v>960</v>
      </c>
      <c r="B1" s="175" t="s">
        <v>961</v>
      </c>
    </row>
    <row r="2" spans="1:62" x14ac:dyDescent="0.2">
      <c r="A2" s="457" t="s">
        <v>962</v>
      </c>
    </row>
    <row r="3" spans="1:62" ht="15" customHeight="1" x14ac:dyDescent="0.2">
      <c r="AJ3" s="439"/>
      <c r="AK3" s="439"/>
      <c r="AL3" s="439"/>
      <c r="AM3" s="439"/>
      <c r="AN3" s="439"/>
      <c r="AO3" s="439"/>
      <c r="AQ3" s="443" t="s">
        <v>442</v>
      </c>
      <c r="AR3" s="443"/>
      <c r="AS3" s="444" t="s">
        <v>443</v>
      </c>
      <c r="AT3" s="444"/>
      <c r="AU3" s="443" t="s">
        <v>444</v>
      </c>
      <c r="AV3" s="443"/>
      <c r="AW3" s="444" t="s">
        <v>445</v>
      </c>
      <c r="AX3" s="444"/>
      <c r="AY3" s="51"/>
      <c r="AZ3" s="441"/>
      <c r="BA3" s="441"/>
      <c r="BB3" s="441"/>
      <c r="BC3" s="441"/>
      <c r="BD3" s="442"/>
      <c r="BG3" s="52"/>
      <c r="BH3" s="52"/>
      <c r="BI3" s="52"/>
    </row>
    <row r="4" spans="1:62" s="7" customFormat="1" ht="100.5" customHeight="1" x14ac:dyDescent="0.2">
      <c r="A4" s="1" t="s">
        <v>0</v>
      </c>
      <c r="B4" s="1" t="s">
        <v>1</v>
      </c>
      <c r="C4" s="2" t="s">
        <v>2</v>
      </c>
      <c r="D4" s="2" t="s">
        <v>3</v>
      </c>
      <c r="E4" s="2" t="s">
        <v>4</v>
      </c>
      <c r="F4" s="2" t="s">
        <v>5</v>
      </c>
      <c r="G4" s="2" t="s">
        <v>6</v>
      </c>
      <c r="H4" s="2" t="s">
        <v>570</v>
      </c>
      <c r="I4" s="2" t="s">
        <v>7</v>
      </c>
      <c r="J4" s="3" t="s">
        <v>8</v>
      </c>
      <c r="K4" s="3" t="s">
        <v>9</v>
      </c>
      <c r="L4" s="3" t="s">
        <v>10</v>
      </c>
      <c r="M4" s="3" t="s">
        <v>11</v>
      </c>
      <c r="N4" s="3" t="s">
        <v>12</v>
      </c>
      <c r="O4" s="3" t="s">
        <v>13</v>
      </c>
      <c r="P4" s="4" t="s">
        <v>14</v>
      </c>
      <c r="Q4" s="4" t="s">
        <v>899</v>
      </c>
      <c r="R4" s="4" t="s">
        <v>893</v>
      </c>
      <c r="S4" s="4" t="s">
        <v>898</v>
      </c>
      <c r="T4" s="4" t="s">
        <v>894</v>
      </c>
      <c r="U4" s="4" t="s">
        <v>15</v>
      </c>
      <c r="V4" s="4" t="s">
        <v>498</v>
      </c>
      <c r="W4" s="4" t="s">
        <v>16</v>
      </c>
      <c r="X4" s="4" t="s">
        <v>17</v>
      </c>
      <c r="Y4" s="4" t="s">
        <v>18</v>
      </c>
      <c r="Z4" s="5" t="s">
        <v>19</v>
      </c>
      <c r="AA4" s="5" t="s">
        <v>20</v>
      </c>
      <c r="AB4" s="6" t="s">
        <v>21</v>
      </c>
      <c r="AC4" s="5" t="s">
        <v>22</v>
      </c>
      <c r="AD4" s="31" t="s">
        <v>574</v>
      </c>
      <c r="AE4" s="31" t="s">
        <v>573</v>
      </c>
      <c r="AG4" s="92" t="s">
        <v>496</v>
      </c>
      <c r="AH4" s="12" t="s">
        <v>497</v>
      </c>
      <c r="AJ4" s="53" t="s">
        <v>446</v>
      </c>
      <c r="AK4" s="31" t="s">
        <v>447</v>
      </c>
      <c r="AL4" s="31" t="s">
        <v>600</v>
      </c>
      <c r="AM4" s="54" t="s">
        <v>448</v>
      </c>
      <c r="AN4" s="55" t="s">
        <v>449</v>
      </c>
      <c r="AO4" s="56" t="s">
        <v>599</v>
      </c>
      <c r="AP4" s="57"/>
      <c r="AQ4" s="58" t="s">
        <v>450</v>
      </c>
      <c r="AR4" s="59" t="s">
        <v>451</v>
      </c>
      <c r="AS4" s="58" t="s">
        <v>452</v>
      </c>
      <c r="AT4" s="59" t="s">
        <v>453</v>
      </c>
      <c r="AU4" s="60" t="s">
        <v>454</v>
      </c>
      <c r="AV4" s="61" t="s">
        <v>455</v>
      </c>
      <c r="AW4" s="60" t="s">
        <v>456</v>
      </c>
      <c r="AX4" s="61" t="s">
        <v>457</v>
      </c>
      <c r="AY4" s="62"/>
      <c r="AZ4" s="56" t="s">
        <v>599</v>
      </c>
      <c r="BA4" s="63" t="s">
        <v>598</v>
      </c>
      <c r="BB4" s="64" t="s">
        <v>597</v>
      </c>
      <c r="BC4" s="65" t="s">
        <v>596</v>
      </c>
      <c r="BD4" s="442"/>
      <c r="BE4" s="66"/>
      <c r="BF4" s="438" t="s">
        <v>458</v>
      </c>
      <c r="BG4" s="438"/>
      <c r="BH4" s="438"/>
      <c r="BI4" s="438"/>
      <c r="BJ4" s="84"/>
    </row>
    <row r="5" spans="1:62" s="16" customFormat="1" ht="15" customHeight="1" x14ac:dyDescent="0.25">
      <c r="A5" s="32" t="s">
        <v>23</v>
      </c>
      <c r="B5" s="33">
        <v>250</v>
      </c>
      <c r="C5" s="34" t="s">
        <v>24</v>
      </c>
      <c r="D5" s="35" t="s">
        <v>25</v>
      </c>
      <c r="E5" s="33" t="s">
        <v>26</v>
      </c>
      <c r="F5" s="33" t="s">
        <v>27</v>
      </c>
      <c r="G5" s="33" t="s">
        <v>28</v>
      </c>
      <c r="H5" s="33" t="s">
        <v>582</v>
      </c>
      <c r="I5" s="36" t="s">
        <v>29</v>
      </c>
      <c r="J5" s="36" t="s">
        <v>30</v>
      </c>
      <c r="K5" s="36" t="s">
        <v>30</v>
      </c>
      <c r="L5" s="36" t="s">
        <v>31</v>
      </c>
      <c r="M5" s="36">
        <v>72</v>
      </c>
      <c r="N5" s="33" t="s">
        <v>32</v>
      </c>
      <c r="O5" s="37" t="s">
        <v>33</v>
      </c>
      <c r="P5" s="38" t="s">
        <v>34</v>
      </c>
      <c r="Q5" s="38" t="s">
        <v>900</v>
      </c>
      <c r="R5" s="33" t="s">
        <v>896</v>
      </c>
      <c r="S5" s="433">
        <v>12900</v>
      </c>
      <c r="T5" s="33" t="s">
        <v>37</v>
      </c>
      <c r="U5" s="33" t="s">
        <v>35</v>
      </c>
      <c r="V5" s="33">
        <v>25</v>
      </c>
      <c r="W5" s="33" t="s">
        <v>36</v>
      </c>
      <c r="X5" s="33">
        <v>6.6</v>
      </c>
      <c r="Y5" s="33">
        <v>0.22500000000000001</v>
      </c>
      <c r="Z5" s="33" t="s">
        <v>37</v>
      </c>
      <c r="AA5" s="33" t="s">
        <v>38</v>
      </c>
      <c r="AB5" s="33">
        <v>1606</v>
      </c>
      <c r="AC5" s="39">
        <f>AB5/((Y5/100)*1000)</f>
        <v>713.7777777777776</v>
      </c>
      <c r="AD5" s="40">
        <f t="shared" ref="AD5:AD36" si="0">AC5/((0.0278/(1+AG5))+(1.1994/(1+AH5)))</f>
        <v>642.49215609612986</v>
      </c>
      <c r="AE5" s="40">
        <f>AD5</f>
        <v>642.49215609612986</v>
      </c>
      <c r="AG5" s="16">
        <f t="shared" ref="AG5:AG36" si="1">POWER(10,7.688-X5)</f>
        <v>12.246161992650494</v>
      </c>
      <c r="AH5" s="26">
        <f t="shared" ref="AH5:AH36" si="2">POWER(10,X5-7.688)</f>
        <v>8.1658237135859194E-2</v>
      </c>
      <c r="AJ5" s="85" t="str">
        <f t="shared" ref="AJ5:AJ36" si="3">L5</f>
        <v>EC10</v>
      </c>
      <c r="AK5" s="9">
        <f>VLOOKUP(AJ5,$BG$5:$BH$16,2,FALSE)</f>
        <v>1</v>
      </c>
      <c r="AL5" s="18">
        <f t="shared" ref="AL5:AL36" si="4">AE5/AK5</f>
        <v>642.49215609612986</v>
      </c>
      <c r="AM5" s="88" t="str">
        <f t="shared" ref="AM5:AM36" si="5">O5</f>
        <v>Chronic</v>
      </c>
      <c r="AN5" s="9">
        <f>VLOOKUP(AM5,$BG$18:$BI$19,2,FALSE)</f>
        <v>1</v>
      </c>
      <c r="AO5" s="18">
        <f>AL5/AN5</f>
        <v>642.49215609612986</v>
      </c>
      <c r="AQ5" s="101" t="str">
        <f t="shared" ref="AQ5:AQ36" si="6">L5</f>
        <v>EC10</v>
      </c>
      <c r="AR5" s="102" t="s">
        <v>356</v>
      </c>
      <c r="AS5" s="103" t="str">
        <f t="shared" ref="AS5:AS36" si="7">O5</f>
        <v>Chronic</v>
      </c>
      <c r="AT5" s="102" t="str">
        <f>IF(AS5="chronic","y","n")</f>
        <v>y</v>
      </c>
      <c r="AU5" s="104" t="str">
        <f>K5</f>
        <v>Growth rate</v>
      </c>
      <c r="AV5" s="102" t="s">
        <v>459</v>
      </c>
      <c r="AW5" s="105">
        <f>M5</f>
        <v>72</v>
      </c>
      <c r="AX5" s="102" t="s">
        <v>460</v>
      </c>
      <c r="AY5" s="102"/>
      <c r="AZ5" s="106">
        <f>AO5</f>
        <v>642.49215609612986</v>
      </c>
      <c r="BA5" s="107">
        <f>GEOMEAN(AZ5:AZ5)</f>
        <v>642.49215609612986</v>
      </c>
      <c r="BB5" s="108">
        <f>MIN(BA5)</f>
        <v>642.49215609612986</v>
      </c>
      <c r="BC5" s="109">
        <f>MIN(BB5)</f>
        <v>642.49215609612986</v>
      </c>
      <c r="BE5" s="10" t="s">
        <v>461</v>
      </c>
      <c r="BG5" s="87" t="s">
        <v>31</v>
      </c>
      <c r="BH5" s="87">
        <v>1</v>
      </c>
      <c r="BI5" s="87" t="s">
        <v>462</v>
      </c>
    </row>
    <row r="6" spans="1:62" ht="15" customHeight="1" x14ac:dyDescent="0.25">
      <c r="A6" s="32" t="s">
        <v>39</v>
      </c>
      <c r="B6" s="33">
        <v>250</v>
      </c>
      <c r="C6" s="34" t="s">
        <v>24</v>
      </c>
      <c r="D6" s="35" t="s">
        <v>25</v>
      </c>
      <c r="E6" s="33" t="s">
        <v>26</v>
      </c>
      <c r="F6" s="33" t="s">
        <v>27</v>
      </c>
      <c r="G6" s="33" t="s">
        <v>28</v>
      </c>
      <c r="H6" s="33" t="s">
        <v>582</v>
      </c>
      <c r="I6" s="36" t="s">
        <v>29</v>
      </c>
      <c r="J6" s="36" t="s">
        <v>30</v>
      </c>
      <c r="K6" s="36" t="s">
        <v>30</v>
      </c>
      <c r="L6" s="36" t="s">
        <v>40</v>
      </c>
      <c r="M6" s="36">
        <v>72</v>
      </c>
      <c r="N6" s="33" t="s">
        <v>32</v>
      </c>
      <c r="O6" s="37" t="s">
        <v>33</v>
      </c>
      <c r="P6" s="38" t="s">
        <v>34</v>
      </c>
      <c r="Q6" s="38" t="s">
        <v>900</v>
      </c>
      <c r="R6" s="33" t="s">
        <v>896</v>
      </c>
      <c r="S6" s="433">
        <v>20400</v>
      </c>
      <c r="T6" s="33" t="s">
        <v>37</v>
      </c>
      <c r="U6" s="33" t="s">
        <v>35</v>
      </c>
      <c r="V6" s="33">
        <v>25</v>
      </c>
      <c r="W6" s="33" t="s">
        <v>41</v>
      </c>
      <c r="X6" s="33">
        <v>6.6</v>
      </c>
      <c r="Y6" s="33">
        <v>0.22500000000000001</v>
      </c>
      <c r="Z6" s="33" t="s">
        <v>37</v>
      </c>
      <c r="AA6" s="33" t="s">
        <v>42</v>
      </c>
      <c r="AB6" s="33">
        <v>2166</v>
      </c>
      <c r="AC6" s="39">
        <f t="shared" ref="AC6:AC12" si="8">AB6/((Y6/100)*1000)</f>
        <v>962.66666666666652</v>
      </c>
      <c r="AD6" s="40">
        <f t="shared" si="0"/>
        <v>866.52429022678541</v>
      </c>
      <c r="AE6" s="40">
        <f>AD6</f>
        <v>866.52429022678541</v>
      </c>
      <c r="AG6" s="16">
        <f t="shared" si="1"/>
        <v>12.246161992650494</v>
      </c>
      <c r="AH6" s="26">
        <f t="shared" si="2"/>
        <v>8.1658237135859194E-2</v>
      </c>
      <c r="AJ6" s="85" t="str">
        <f t="shared" si="3"/>
        <v>EC50</v>
      </c>
      <c r="AK6" s="9">
        <f t="shared" ref="AK6:AK69" si="9">VLOOKUP(AJ6,$BG$5:$BH$16,2,FALSE)</f>
        <v>5</v>
      </c>
      <c r="AL6" s="18">
        <f t="shared" si="4"/>
        <v>173.30485804535709</v>
      </c>
      <c r="AM6" s="88" t="str">
        <f t="shared" si="5"/>
        <v>Chronic</v>
      </c>
      <c r="AN6" s="9">
        <f t="shared" ref="AN6:AN69" si="10">VLOOKUP(AM6,$BG$18:$BI$19,2,FALSE)</f>
        <v>1</v>
      </c>
      <c r="AO6" s="18">
        <f t="shared" ref="AO6:AO69" si="11">AL6/AN6</f>
        <v>173.30485804535709</v>
      </c>
      <c r="AP6" s="16"/>
      <c r="AQ6" s="110" t="str">
        <f t="shared" si="6"/>
        <v>EC50</v>
      </c>
      <c r="AR6" s="111" t="s">
        <v>463</v>
      </c>
      <c r="AS6" s="112" t="str">
        <f t="shared" si="7"/>
        <v>Chronic</v>
      </c>
      <c r="AT6" s="111" t="str">
        <f>IF(AS6="chronic","y","n")</f>
        <v>y</v>
      </c>
      <c r="AU6" s="113" t="s">
        <v>464</v>
      </c>
      <c r="AV6" s="111"/>
      <c r="AW6" s="114"/>
      <c r="AX6" s="111"/>
      <c r="AY6" s="111"/>
      <c r="AZ6" s="115"/>
      <c r="BA6" s="116"/>
      <c r="BB6" s="117"/>
      <c r="BC6" s="125"/>
      <c r="BG6" s="87" t="s">
        <v>465</v>
      </c>
      <c r="BH6" s="87">
        <v>1</v>
      </c>
      <c r="BI6" s="87" t="s">
        <v>462</v>
      </c>
    </row>
    <row r="7" spans="1:62" ht="15" customHeight="1" x14ac:dyDescent="0.25">
      <c r="A7" s="8" t="s">
        <v>43</v>
      </c>
      <c r="B7" s="9">
        <v>250</v>
      </c>
      <c r="C7" s="10" t="s">
        <v>24</v>
      </c>
      <c r="D7" s="17" t="s">
        <v>44</v>
      </c>
      <c r="E7" s="9" t="s">
        <v>26</v>
      </c>
      <c r="F7" s="9" t="s">
        <v>27</v>
      </c>
      <c r="G7" s="9" t="s">
        <v>28</v>
      </c>
      <c r="H7" s="9" t="s">
        <v>582</v>
      </c>
      <c r="I7" s="12" t="s">
        <v>29</v>
      </c>
      <c r="J7" s="12" t="s">
        <v>30</v>
      </c>
      <c r="K7" s="12" t="s">
        <v>30</v>
      </c>
      <c r="L7" s="12" t="s">
        <v>31</v>
      </c>
      <c r="M7" s="12">
        <v>72</v>
      </c>
      <c r="N7" s="9" t="s">
        <v>32</v>
      </c>
      <c r="O7" s="13" t="s">
        <v>33</v>
      </c>
      <c r="P7" s="14" t="s">
        <v>34</v>
      </c>
      <c r="Q7" s="14" t="s">
        <v>900</v>
      </c>
      <c r="R7" s="9" t="s">
        <v>897</v>
      </c>
      <c r="S7" s="434">
        <v>13000</v>
      </c>
      <c r="T7" s="9" t="s">
        <v>37</v>
      </c>
      <c r="U7" s="9" t="s">
        <v>35</v>
      </c>
      <c r="V7" s="9">
        <v>25</v>
      </c>
      <c r="W7" s="9">
        <v>6.6</v>
      </c>
      <c r="X7" s="9">
        <v>6.6</v>
      </c>
      <c r="Y7" s="9">
        <v>0.22500000000000001</v>
      </c>
      <c r="Z7" s="9" t="s">
        <v>37</v>
      </c>
      <c r="AA7" s="9" t="s">
        <v>45</v>
      </c>
      <c r="AB7" s="9">
        <v>1400</v>
      </c>
      <c r="AC7" s="27">
        <f t="shared" si="8"/>
        <v>622.22222222222206</v>
      </c>
      <c r="AD7" s="15">
        <f t="shared" si="0"/>
        <v>560.08033532663876</v>
      </c>
      <c r="AE7" s="15">
        <f>AD7</f>
        <v>560.08033532663876</v>
      </c>
      <c r="AG7" s="16">
        <f t="shared" si="1"/>
        <v>12.246161992650494</v>
      </c>
      <c r="AH7" s="26">
        <f t="shared" si="2"/>
        <v>8.1658237135859194E-2</v>
      </c>
      <c r="AJ7" s="85" t="str">
        <f t="shared" si="3"/>
        <v>EC10</v>
      </c>
      <c r="AK7" s="9">
        <f t="shared" si="9"/>
        <v>1</v>
      </c>
      <c r="AL7" s="18">
        <f t="shared" si="4"/>
        <v>560.08033532663876</v>
      </c>
      <c r="AM7" s="88" t="str">
        <f t="shared" si="5"/>
        <v>Chronic</v>
      </c>
      <c r="AN7" s="9">
        <f t="shared" si="10"/>
        <v>1</v>
      </c>
      <c r="AO7" s="18">
        <f t="shared" si="11"/>
        <v>560.08033532663876</v>
      </c>
      <c r="AP7" s="16"/>
      <c r="AQ7" s="101" t="str">
        <f t="shared" si="6"/>
        <v>EC10</v>
      </c>
      <c r="AR7" s="102" t="s">
        <v>356</v>
      </c>
      <c r="AS7" s="103" t="str">
        <f t="shared" si="7"/>
        <v>Chronic</v>
      </c>
      <c r="AT7" s="102" t="str">
        <f>IF(AS7="chronic","y","n")</f>
        <v>y</v>
      </c>
      <c r="AU7" s="104" t="str">
        <f>K7</f>
        <v>Growth rate</v>
      </c>
      <c r="AV7" s="102" t="s">
        <v>459</v>
      </c>
      <c r="AW7" s="105">
        <f>M7</f>
        <v>72</v>
      </c>
      <c r="AX7" s="102" t="s">
        <v>460</v>
      </c>
      <c r="AY7" s="102"/>
      <c r="AZ7" s="106">
        <f t="shared" ref="AZ7:AZ23" si="12">AO7</f>
        <v>560.08033532663876</v>
      </c>
      <c r="BA7" s="107">
        <f>GEOMEAN(AZ7:AZ7)</f>
        <v>560.08033532663876</v>
      </c>
      <c r="BB7" s="108">
        <f>MIN(BA7)</f>
        <v>560.08033532663876</v>
      </c>
      <c r="BC7" s="109">
        <f>MIN(BB7)</f>
        <v>560.08033532663876</v>
      </c>
      <c r="BG7" s="71" t="s">
        <v>54</v>
      </c>
      <c r="BH7" s="71">
        <v>1</v>
      </c>
      <c r="BI7" s="71" t="s">
        <v>462</v>
      </c>
    </row>
    <row r="8" spans="1:62" ht="15" customHeight="1" x14ac:dyDescent="0.25">
      <c r="A8" s="8" t="s">
        <v>46</v>
      </c>
      <c r="B8" s="9">
        <v>250</v>
      </c>
      <c r="C8" s="10" t="s">
        <v>24</v>
      </c>
      <c r="D8" s="17" t="s">
        <v>44</v>
      </c>
      <c r="E8" s="9" t="s">
        <v>26</v>
      </c>
      <c r="F8" s="9" t="s">
        <v>27</v>
      </c>
      <c r="G8" s="9" t="s">
        <v>28</v>
      </c>
      <c r="H8" s="9" t="s">
        <v>582</v>
      </c>
      <c r="I8" s="12" t="s">
        <v>29</v>
      </c>
      <c r="J8" s="12" t="s">
        <v>30</v>
      </c>
      <c r="K8" s="12" t="s">
        <v>30</v>
      </c>
      <c r="L8" s="12" t="s">
        <v>40</v>
      </c>
      <c r="M8" s="12">
        <v>72</v>
      </c>
      <c r="N8" s="9" t="s">
        <v>32</v>
      </c>
      <c r="O8" s="13" t="s">
        <v>33</v>
      </c>
      <c r="P8" s="14" t="s">
        <v>34</v>
      </c>
      <c r="Q8" s="14" t="s">
        <v>900</v>
      </c>
      <c r="R8" s="9" t="s">
        <v>897</v>
      </c>
      <c r="S8" s="434">
        <v>15500</v>
      </c>
      <c r="T8" s="9" t="s">
        <v>37</v>
      </c>
      <c r="U8" s="9" t="s">
        <v>35</v>
      </c>
      <c r="V8" s="9">
        <v>25</v>
      </c>
      <c r="W8" s="9">
        <v>6.6</v>
      </c>
      <c r="X8" s="9">
        <v>6.6</v>
      </c>
      <c r="Y8" s="9">
        <v>0.22500000000000001</v>
      </c>
      <c r="Z8" s="9" t="s">
        <v>37</v>
      </c>
      <c r="AA8" s="9" t="s">
        <v>47</v>
      </c>
      <c r="AB8" s="9">
        <v>1902</v>
      </c>
      <c r="AC8" s="27">
        <f t="shared" si="8"/>
        <v>845.33333333333314</v>
      </c>
      <c r="AD8" s="15">
        <f t="shared" si="0"/>
        <v>760.90914127947633</v>
      </c>
      <c r="AE8" s="15">
        <f>AD8</f>
        <v>760.90914127947633</v>
      </c>
      <c r="AG8" s="16">
        <f t="shared" si="1"/>
        <v>12.246161992650494</v>
      </c>
      <c r="AH8" s="26">
        <f t="shared" si="2"/>
        <v>8.1658237135859194E-2</v>
      </c>
      <c r="AJ8" s="85" t="str">
        <f t="shared" si="3"/>
        <v>EC50</v>
      </c>
      <c r="AK8" s="9">
        <f t="shared" si="9"/>
        <v>5</v>
      </c>
      <c r="AL8" s="18">
        <f t="shared" si="4"/>
        <v>152.18182825589525</v>
      </c>
      <c r="AM8" s="88" t="str">
        <f t="shared" si="5"/>
        <v>Chronic</v>
      </c>
      <c r="AN8" s="9">
        <f t="shared" si="10"/>
        <v>1</v>
      </c>
      <c r="AO8" s="18">
        <f t="shared" si="11"/>
        <v>152.18182825589525</v>
      </c>
      <c r="AP8" s="16"/>
      <c r="AQ8" s="110" t="str">
        <f t="shared" si="6"/>
        <v>EC50</v>
      </c>
      <c r="AR8" s="111" t="s">
        <v>463</v>
      </c>
      <c r="AS8" s="112" t="str">
        <f t="shared" si="7"/>
        <v>Chronic</v>
      </c>
      <c r="AT8" s="111" t="str">
        <f>IF(AS8="chronic","y","n")</f>
        <v>y</v>
      </c>
      <c r="AU8" s="120" t="s">
        <v>464</v>
      </c>
      <c r="AV8" s="121"/>
      <c r="AW8" s="122"/>
      <c r="AX8" s="121"/>
      <c r="AY8" s="111"/>
      <c r="AZ8" s="115">
        <f t="shared" si="12"/>
        <v>152.18182825589525</v>
      </c>
      <c r="BA8" s="123"/>
      <c r="BB8" s="123"/>
      <c r="BC8" s="124"/>
      <c r="BG8" s="71" t="s">
        <v>67</v>
      </c>
      <c r="BH8" s="75">
        <v>2.5</v>
      </c>
      <c r="BI8" s="71" t="s">
        <v>462</v>
      </c>
    </row>
    <row r="9" spans="1:62" ht="15" customHeight="1" x14ac:dyDescent="0.25">
      <c r="A9" s="32" t="s">
        <v>48</v>
      </c>
      <c r="B9" s="33">
        <v>236</v>
      </c>
      <c r="C9" s="34" t="s">
        <v>24</v>
      </c>
      <c r="D9" s="35" t="s">
        <v>49</v>
      </c>
      <c r="E9" s="33" t="s">
        <v>50</v>
      </c>
      <c r="F9" s="33" t="s">
        <v>51</v>
      </c>
      <c r="G9" s="33" t="s">
        <v>52</v>
      </c>
      <c r="H9" s="33" t="s">
        <v>571</v>
      </c>
      <c r="I9" s="36" t="s">
        <v>37</v>
      </c>
      <c r="J9" s="36" t="s">
        <v>53</v>
      </c>
      <c r="K9" s="36" t="s">
        <v>53</v>
      </c>
      <c r="L9" s="36" t="s">
        <v>54</v>
      </c>
      <c r="M9" s="36">
        <v>30</v>
      </c>
      <c r="N9" s="33" t="s">
        <v>55</v>
      </c>
      <c r="O9" s="37" t="s">
        <v>33</v>
      </c>
      <c r="P9" s="38" t="s">
        <v>56</v>
      </c>
      <c r="Q9" s="38" t="s">
        <v>900</v>
      </c>
      <c r="R9" s="33" t="s">
        <v>901</v>
      </c>
      <c r="S9" s="33" t="s">
        <v>37</v>
      </c>
      <c r="T9" s="33" t="s">
        <v>37</v>
      </c>
      <c r="U9" s="33" t="s">
        <v>57</v>
      </c>
      <c r="V9" s="40">
        <v>15.1</v>
      </c>
      <c r="W9" s="33" t="s">
        <v>58</v>
      </c>
      <c r="X9" s="33">
        <v>8.11</v>
      </c>
      <c r="Y9" s="33">
        <v>3.42</v>
      </c>
      <c r="Z9" s="33" t="s">
        <v>37</v>
      </c>
      <c r="AA9" s="33">
        <v>20</v>
      </c>
      <c r="AB9" s="40">
        <v>20</v>
      </c>
      <c r="AC9" s="40">
        <f t="shared" si="8"/>
        <v>0.58479532163742687</v>
      </c>
      <c r="AD9" s="40">
        <f t="shared" si="0"/>
        <v>1.6734482467670493</v>
      </c>
      <c r="AE9" s="40">
        <f t="shared" ref="AE9:AE49" si="13">POWER(10,LOG(AD9)-(-0.028*(V9-20)))</f>
        <v>1.2201473635986262</v>
      </c>
      <c r="AG9" s="16">
        <f t="shared" si="1"/>
        <v>0.37844258471709358</v>
      </c>
      <c r="AH9" s="26">
        <f t="shared" si="2"/>
        <v>2.6424087573219448</v>
      </c>
      <c r="AJ9" s="85" t="str">
        <f t="shared" si="3"/>
        <v>NOEC</v>
      </c>
      <c r="AK9" s="9">
        <f t="shared" si="9"/>
        <v>1</v>
      </c>
      <c r="AL9" s="18">
        <f t="shared" si="4"/>
        <v>1.2201473635986262</v>
      </c>
      <c r="AM9" s="88" t="str">
        <f t="shared" si="5"/>
        <v>Chronic</v>
      </c>
      <c r="AN9" s="9">
        <f t="shared" si="10"/>
        <v>1</v>
      </c>
      <c r="AO9" s="18">
        <f t="shared" si="11"/>
        <v>1.2201473635986262</v>
      </c>
      <c r="AP9" s="16"/>
      <c r="AQ9" s="127" t="str">
        <f t="shared" si="6"/>
        <v>NOEC</v>
      </c>
      <c r="AR9" s="128" t="s">
        <v>356</v>
      </c>
      <c r="AS9" s="129" t="str">
        <f t="shared" si="7"/>
        <v>Chronic</v>
      </c>
      <c r="AT9" s="128" t="str">
        <f>IF(AS9="chronic","y","n")</f>
        <v>y</v>
      </c>
      <c r="AU9" s="130" t="str">
        <f>K9</f>
        <v>Mortality</v>
      </c>
      <c r="AV9" s="128" t="s">
        <v>459</v>
      </c>
      <c r="AW9" s="131">
        <f>M9</f>
        <v>30</v>
      </c>
      <c r="AX9" s="128" t="s">
        <v>460</v>
      </c>
      <c r="AY9" s="128"/>
      <c r="AZ9" s="189">
        <f t="shared" si="12"/>
        <v>1.2201473635986262</v>
      </c>
      <c r="BA9" s="190">
        <f>GEOMEAN(AZ9)</f>
        <v>1.2201473635986262</v>
      </c>
      <c r="BB9" s="191">
        <f>MIN(BA9)</f>
        <v>1.2201473635986262</v>
      </c>
      <c r="BC9" s="149">
        <f>MIN(BB9)</f>
        <v>1.2201473635986262</v>
      </c>
      <c r="BG9" s="9" t="s">
        <v>40</v>
      </c>
      <c r="BH9" s="9">
        <v>5</v>
      </c>
      <c r="BI9" s="87" t="s">
        <v>462</v>
      </c>
    </row>
    <row r="10" spans="1:62" ht="15" customHeight="1" x14ac:dyDescent="0.25">
      <c r="A10" s="19" t="s">
        <v>59</v>
      </c>
      <c r="B10" s="9">
        <v>245</v>
      </c>
      <c r="C10" s="10" t="s">
        <v>24</v>
      </c>
      <c r="D10" s="11" t="s">
        <v>60</v>
      </c>
      <c r="E10" s="20" t="s">
        <v>61</v>
      </c>
      <c r="F10" s="9" t="s">
        <v>62</v>
      </c>
      <c r="G10" s="9" t="s">
        <v>52</v>
      </c>
      <c r="H10" s="9" t="s">
        <v>571</v>
      </c>
      <c r="I10" s="12" t="s">
        <v>63</v>
      </c>
      <c r="J10" s="12" t="s">
        <v>64</v>
      </c>
      <c r="K10" s="12" t="s">
        <v>64</v>
      </c>
      <c r="L10" s="12" t="s">
        <v>54</v>
      </c>
      <c r="M10" s="12">
        <v>7</v>
      </c>
      <c r="N10" s="9" t="s">
        <v>55</v>
      </c>
      <c r="O10" s="21" t="s">
        <v>33</v>
      </c>
      <c r="P10" s="14" t="s">
        <v>65</v>
      </c>
      <c r="Q10" s="14" t="s">
        <v>900</v>
      </c>
      <c r="R10" s="9" t="s">
        <v>37</v>
      </c>
      <c r="S10" s="9" t="s">
        <v>37</v>
      </c>
      <c r="T10" s="9" t="s">
        <v>37</v>
      </c>
      <c r="U10" s="9">
        <v>25</v>
      </c>
      <c r="V10" s="9">
        <v>25</v>
      </c>
      <c r="W10" s="22">
        <v>8</v>
      </c>
      <c r="X10" s="22">
        <v>8</v>
      </c>
      <c r="Y10" s="20">
        <v>5.3659999999999997</v>
      </c>
      <c r="Z10" s="20" t="s">
        <v>37</v>
      </c>
      <c r="AA10" s="20">
        <v>680</v>
      </c>
      <c r="AB10" s="9">
        <v>680</v>
      </c>
      <c r="AC10" s="27">
        <f t="shared" si="8"/>
        <v>12.672381662318301</v>
      </c>
      <c r="AD10" s="15">
        <f t="shared" si="0"/>
        <v>30.774279778328605</v>
      </c>
      <c r="AE10" s="27">
        <f t="shared" si="13"/>
        <v>42.480331560491585</v>
      </c>
      <c r="AG10" s="16">
        <f t="shared" si="1"/>
        <v>0.48752849010338595</v>
      </c>
      <c r="AH10" s="26">
        <f t="shared" si="2"/>
        <v>2.051162178825567</v>
      </c>
      <c r="AJ10" s="85" t="str">
        <f t="shared" si="3"/>
        <v>NOEC</v>
      </c>
      <c r="AK10" s="9">
        <f t="shared" si="9"/>
        <v>1</v>
      </c>
      <c r="AL10" s="18">
        <f t="shared" si="4"/>
        <v>42.480331560491585</v>
      </c>
      <c r="AM10" s="88" t="str">
        <f t="shared" si="5"/>
        <v>Chronic</v>
      </c>
      <c r="AN10" s="9">
        <f t="shared" si="10"/>
        <v>1</v>
      </c>
      <c r="AO10" s="18">
        <f t="shared" si="11"/>
        <v>42.480331560491585</v>
      </c>
      <c r="AP10" s="16"/>
      <c r="AQ10" s="101" t="str">
        <f t="shared" si="6"/>
        <v>NOEC</v>
      </c>
      <c r="AR10" s="102" t="s">
        <v>356</v>
      </c>
      <c r="AS10" s="103" t="str">
        <f t="shared" si="7"/>
        <v>Chronic</v>
      </c>
      <c r="AT10" s="102" t="str">
        <f t="shared" ref="AT10:AT73" si="14">IF(AS10="chronic","y","n")</f>
        <v>y</v>
      </c>
      <c r="AU10" s="104" t="str">
        <f>K10</f>
        <v>Reproduction</v>
      </c>
      <c r="AV10" s="102" t="s">
        <v>459</v>
      </c>
      <c r="AW10" s="105">
        <f>M10</f>
        <v>7</v>
      </c>
      <c r="AX10" s="102" t="s">
        <v>460</v>
      </c>
      <c r="AY10" s="102"/>
      <c r="AZ10" s="106">
        <f t="shared" si="12"/>
        <v>42.480331560491585</v>
      </c>
      <c r="BA10" s="107">
        <f>GEOMEAN(AZ10:AZ10)</f>
        <v>42.480331560491585</v>
      </c>
      <c r="BB10" s="108">
        <f>MIN(BA10:BA13)</f>
        <v>42.480331560491585</v>
      </c>
      <c r="BC10" s="109">
        <f>MIN(BB10)</f>
        <v>42.480331560491585</v>
      </c>
      <c r="BG10" s="87" t="s">
        <v>112</v>
      </c>
      <c r="BH10" s="97">
        <v>5</v>
      </c>
    </row>
    <row r="11" spans="1:62" ht="15" customHeight="1" x14ac:dyDescent="0.25">
      <c r="A11" s="19" t="s">
        <v>66</v>
      </c>
      <c r="B11" s="9">
        <v>245</v>
      </c>
      <c r="C11" s="10" t="s">
        <v>24</v>
      </c>
      <c r="D11" s="11" t="s">
        <v>60</v>
      </c>
      <c r="E11" s="20" t="s">
        <v>61</v>
      </c>
      <c r="F11" s="9" t="s">
        <v>62</v>
      </c>
      <c r="G11" s="9" t="s">
        <v>52</v>
      </c>
      <c r="H11" s="9" t="s">
        <v>571</v>
      </c>
      <c r="I11" s="12" t="s">
        <v>63</v>
      </c>
      <c r="J11" s="12" t="s">
        <v>64</v>
      </c>
      <c r="K11" s="12" t="s">
        <v>64</v>
      </c>
      <c r="L11" s="12" t="s">
        <v>67</v>
      </c>
      <c r="M11" s="12">
        <v>7</v>
      </c>
      <c r="N11" s="9" t="s">
        <v>55</v>
      </c>
      <c r="O11" s="21" t="s">
        <v>33</v>
      </c>
      <c r="P11" s="14" t="s">
        <v>65</v>
      </c>
      <c r="Q11" s="14" t="s">
        <v>900</v>
      </c>
      <c r="R11" s="9" t="s">
        <v>37</v>
      </c>
      <c r="S11" s="9" t="s">
        <v>37</v>
      </c>
      <c r="T11" s="9" t="s">
        <v>37</v>
      </c>
      <c r="U11" s="9">
        <v>25</v>
      </c>
      <c r="V11" s="9">
        <v>25</v>
      </c>
      <c r="W11" s="22">
        <v>8</v>
      </c>
      <c r="X11" s="22">
        <v>8</v>
      </c>
      <c r="Y11" s="20">
        <v>5.3659999999999997</v>
      </c>
      <c r="Z11" s="20" t="s">
        <v>37</v>
      </c>
      <c r="AA11" s="20">
        <v>880</v>
      </c>
      <c r="AB11" s="9">
        <v>880</v>
      </c>
      <c r="AC11" s="27">
        <f t="shared" si="8"/>
        <v>16.399552739470742</v>
      </c>
      <c r="AD11" s="15">
        <f t="shared" si="0"/>
        <v>39.825538536660545</v>
      </c>
      <c r="AE11" s="15">
        <f t="shared" si="13"/>
        <v>54.974546725342009</v>
      </c>
      <c r="AG11" s="16">
        <f t="shared" si="1"/>
        <v>0.48752849010338595</v>
      </c>
      <c r="AH11" s="26">
        <f t="shared" si="2"/>
        <v>2.051162178825567</v>
      </c>
      <c r="AJ11" s="85" t="str">
        <f t="shared" si="3"/>
        <v>LOEC</v>
      </c>
      <c r="AK11" s="9">
        <f t="shared" si="9"/>
        <v>2.5</v>
      </c>
      <c r="AL11" s="18">
        <f t="shared" si="4"/>
        <v>21.989818690136804</v>
      </c>
      <c r="AM11" s="88" t="str">
        <f t="shared" si="5"/>
        <v>Chronic</v>
      </c>
      <c r="AN11" s="9">
        <f t="shared" si="10"/>
        <v>1</v>
      </c>
      <c r="AO11" s="18">
        <f t="shared" si="11"/>
        <v>21.989818690136804</v>
      </c>
      <c r="AP11" s="16"/>
      <c r="AQ11" s="132" t="str">
        <f t="shared" si="6"/>
        <v>LOEC</v>
      </c>
      <c r="AR11" s="67" t="s">
        <v>463</v>
      </c>
      <c r="AS11" s="88" t="str">
        <f t="shared" si="7"/>
        <v>Chronic</v>
      </c>
      <c r="AT11" s="67" t="str">
        <f t="shared" si="14"/>
        <v>y</v>
      </c>
      <c r="AU11" s="76" t="s">
        <v>466</v>
      </c>
      <c r="AV11" s="67"/>
      <c r="AW11" s="70"/>
      <c r="AX11" s="67"/>
      <c r="AY11" s="67"/>
      <c r="AZ11" s="80"/>
      <c r="BA11" s="81"/>
      <c r="BB11" s="78"/>
      <c r="BC11" s="133"/>
      <c r="BG11" s="87" t="s">
        <v>392</v>
      </c>
      <c r="BH11" s="97">
        <v>1</v>
      </c>
    </row>
    <row r="12" spans="1:62" ht="15" customHeight="1" x14ac:dyDescent="0.25">
      <c r="A12" s="19" t="s">
        <v>68</v>
      </c>
      <c r="B12" s="9">
        <v>245</v>
      </c>
      <c r="C12" s="10" t="s">
        <v>24</v>
      </c>
      <c r="D12" s="11" t="s">
        <v>60</v>
      </c>
      <c r="E12" s="20" t="s">
        <v>61</v>
      </c>
      <c r="F12" s="9" t="s">
        <v>62</v>
      </c>
      <c r="G12" s="9" t="s">
        <v>52</v>
      </c>
      <c r="H12" s="9" t="s">
        <v>571</v>
      </c>
      <c r="I12" s="12" t="s">
        <v>63</v>
      </c>
      <c r="J12" s="12" t="s">
        <v>64</v>
      </c>
      <c r="K12" s="12" t="s">
        <v>64</v>
      </c>
      <c r="L12" s="12" t="s">
        <v>69</v>
      </c>
      <c r="M12" s="12">
        <v>7</v>
      </c>
      <c r="N12" s="9" t="s">
        <v>55</v>
      </c>
      <c r="O12" s="21" t="s">
        <v>33</v>
      </c>
      <c r="P12" s="14" t="s">
        <v>65</v>
      </c>
      <c r="Q12" s="14" t="s">
        <v>900</v>
      </c>
      <c r="R12" s="9" t="s">
        <v>37</v>
      </c>
      <c r="S12" s="9" t="s">
        <v>37</v>
      </c>
      <c r="T12" s="9" t="s">
        <v>37</v>
      </c>
      <c r="U12" s="9">
        <v>25</v>
      </c>
      <c r="V12" s="9">
        <v>25</v>
      </c>
      <c r="W12" s="22">
        <v>8</v>
      </c>
      <c r="X12" s="22">
        <v>8</v>
      </c>
      <c r="Y12" s="20">
        <v>5.3659999999999997</v>
      </c>
      <c r="Z12" s="20" t="s">
        <v>37</v>
      </c>
      <c r="AA12" s="20">
        <v>790</v>
      </c>
      <c r="AB12" s="20">
        <v>790</v>
      </c>
      <c r="AC12" s="27">
        <f t="shared" si="8"/>
        <v>14.722325754752145</v>
      </c>
      <c r="AD12" s="15">
        <f t="shared" si="0"/>
        <v>35.752472095411179</v>
      </c>
      <c r="AE12" s="15">
        <f t="shared" si="13"/>
        <v>49.352149901159351</v>
      </c>
      <c r="AG12" s="16">
        <f t="shared" si="1"/>
        <v>0.48752849010338595</v>
      </c>
      <c r="AH12" s="26">
        <f t="shared" si="2"/>
        <v>2.051162178825567</v>
      </c>
      <c r="AJ12" s="85" t="str">
        <f t="shared" si="3"/>
        <v>MATC</v>
      </c>
      <c r="AK12" s="9" t="e">
        <f t="shared" si="9"/>
        <v>#N/A</v>
      </c>
      <c r="AL12" s="18" t="e">
        <f t="shared" si="4"/>
        <v>#N/A</v>
      </c>
      <c r="AM12" s="88" t="str">
        <f t="shared" si="5"/>
        <v>Chronic</v>
      </c>
      <c r="AN12" s="9">
        <f t="shared" si="10"/>
        <v>1</v>
      </c>
      <c r="AO12" s="18" t="e">
        <f t="shared" si="11"/>
        <v>#N/A</v>
      </c>
      <c r="AP12" s="16"/>
      <c r="AQ12" s="132" t="str">
        <f t="shared" si="6"/>
        <v>MATC</v>
      </c>
      <c r="AR12" s="67" t="s">
        <v>463</v>
      </c>
      <c r="AS12" s="88" t="str">
        <f t="shared" si="7"/>
        <v>Chronic</v>
      </c>
      <c r="AT12" s="67" t="str">
        <f t="shared" si="14"/>
        <v>y</v>
      </c>
      <c r="AU12" s="76" t="s">
        <v>466</v>
      </c>
      <c r="AV12" s="67"/>
      <c r="AW12" s="70"/>
      <c r="AX12" s="67"/>
      <c r="AY12" s="76"/>
      <c r="AZ12" s="80"/>
      <c r="BA12" s="77"/>
      <c r="BB12" s="78"/>
      <c r="BC12" s="133"/>
      <c r="BG12" s="87" t="s">
        <v>370</v>
      </c>
      <c r="BH12" s="97">
        <v>1</v>
      </c>
    </row>
    <row r="13" spans="1:62" ht="15" customHeight="1" x14ac:dyDescent="0.25">
      <c r="A13" s="19" t="s">
        <v>70</v>
      </c>
      <c r="B13" s="23">
        <v>224</v>
      </c>
      <c r="C13" s="10" t="s">
        <v>24</v>
      </c>
      <c r="D13" s="11" t="s">
        <v>71</v>
      </c>
      <c r="E13" s="9" t="s">
        <v>61</v>
      </c>
      <c r="F13" s="9" t="s">
        <v>62</v>
      </c>
      <c r="G13" s="9" t="s">
        <v>72</v>
      </c>
      <c r="H13" s="9" t="s">
        <v>571</v>
      </c>
      <c r="I13" s="12" t="s">
        <v>73</v>
      </c>
      <c r="J13" s="9" t="s">
        <v>64</v>
      </c>
      <c r="K13" s="23" t="s">
        <v>74</v>
      </c>
      <c r="L13" s="24" t="s">
        <v>54</v>
      </c>
      <c r="M13" s="9">
        <v>10</v>
      </c>
      <c r="N13" s="9" t="s">
        <v>55</v>
      </c>
      <c r="O13" s="9" t="s">
        <v>33</v>
      </c>
      <c r="P13" s="25" t="s">
        <v>75</v>
      </c>
      <c r="Q13" s="25" t="s">
        <v>903</v>
      </c>
      <c r="R13" s="23" t="s">
        <v>902</v>
      </c>
      <c r="S13" s="23" t="s">
        <v>37</v>
      </c>
      <c r="T13" s="23" t="s">
        <v>37</v>
      </c>
      <c r="U13" s="23">
        <v>23</v>
      </c>
      <c r="V13" s="23">
        <v>23</v>
      </c>
      <c r="W13" s="23" t="s">
        <v>494</v>
      </c>
      <c r="X13" s="23">
        <v>7.9</v>
      </c>
      <c r="Y13" s="23">
        <v>3.76</v>
      </c>
      <c r="Z13" s="23">
        <v>42</v>
      </c>
      <c r="AA13" s="23" t="s">
        <v>37</v>
      </c>
      <c r="AB13" s="27">
        <v>1579</v>
      </c>
      <c r="AC13" s="27">
        <v>42</v>
      </c>
      <c r="AD13" s="15">
        <f t="shared" si="0"/>
        <v>88.720918753392013</v>
      </c>
      <c r="AE13" s="15">
        <f t="shared" si="13"/>
        <v>107.65297361837501</v>
      </c>
      <c r="AG13" s="16">
        <f t="shared" si="1"/>
        <v>0.61376200516479329</v>
      </c>
      <c r="AH13" s="26">
        <f t="shared" si="2"/>
        <v>1.6292960326397248</v>
      </c>
      <c r="AJ13" s="85" t="str">
        <f t="shared" si="3"/>
        <v>NOEC</v>
      </c>
      <c r="AK13" s="9">
        <f t="shared" si="9"/>
        <v>1</v>
      </c>
      <c r="AL13" s="18">
        <f t="shared" si="4"/>
        <v>107.65297361837501</v>
      </c>
      <c r="AM13" s="88" t="str">
        <f t="shared" si="5"/>
        <v>Chronic</v>
      </c>
      <c r="AN13" s="9">
        <f t="shared" si="10"/>
        <v>1</v>
      </c>
      <c r="AO13" s="18">
        <f t="shared" si="11"/>
        <v>107.65297361837501</v>
      </c>
      <c r="AP13" s="16"/>
      <c r="AQ13" s="132" t="str">
        <f t="shared" si="6"/>
        <v>NOEC</v>
      </c>
      <c r="AR13" s="67" t="s">
        <v>356</v>
      </c>
      <c r="AS13" s="88" t="str">
        <f t="shared" si="7"/>
        <v>Chronic</v>
      </c>
      <c r="AT13" s="67" t="str">
        <f t="shared" si="14"/>
        <v>y</v>
      </c>
      <c r="AU13" s="69" t="str">
        <f>K13</f>
        <v>Reproduction (three broods)</v>
      </c>
      <c r="AV13" s="67" t="s">
        <v>459</v>
      </c>
      <c r="AW13" s="70">
        <f>M13</f>
        <v>10</v>
      </c>
      <c r="AX13" s="67" t="s">
        <v>478</v>
      </c>
      <c r="AY13" s="67"/>
      <c r="AZ13" s="80">
        <f t="shared" si="12"/>
        <v>107.65297361837501</v>
      </c>
      <c r="BA13" s="81">
        <f t="shared" ref="BA13" si="15">GEOMEAN(AZ13:AZ13)</f>
        <v>107.65297361837501</v>
      </c>
      <c r="BB13" s="78"/>
      <c r="BC13" s="133"/>
      <c r="BG13" s="87" t="s">
        <v>206</v>
      </c>
      <c r="BH13" s="97">
        <v>1</v>
      </c>
    </row>
    <row r="14" spans="1:62" ht="15" customHeight="1" x14ac:dyDescent="0.25">
      <c r="A14" s="32" t="s">
        <v>76</v>
      </c>
      <c r="B14" s="33">
        <v>240</v>
      </c>
      <c r="C14" s="34" t="s">
        <v>24</v>
      </c>
      <c r="D14" s="35" t="s">
        <v>77</v>
      </c>
      <c r="E14" s="33" t="s">
        <v>61</v>
      </c>
      <c r="F14" s="33" t="s">
        <v>62</v>
      </c>
      <c r="G14" s="33" t="s">
        <v>52</v>
      </c>
      <c r="H14" s="33" t="s">
        <v>571</v>
      </c>
      <c r="I14" s="36" t="s">
        <v>78</v>
      </c>
      <c r="J14" s="36" t="s">
        <v>64</v>
      </c>
      <c r="K14" s="36" t="s">
        <v>64</v>
      </c>
      <c r="L14" s="36" t="s">
        <v>69</v>
      </c>
      <c r="M14" s="36">
        <v>21</v>
      </c>
      <c r="N14" s="33" t="s">
        <v>55</v>
      </c>
      <c r="O14" s="37" t="s">
        <v>33</v>
      </c>
      <c r="P14" s="38" t="s">
        <v>79</v>
      </c>
      <c r="Q14" s="38" t="s">
        <v>900</v>
      </c>
      <c r="R14" s="33" t="s">
        <v>905</v>
      </c>
      <c r="S14" s="33" t="s">
        <v>37</v>
      </c>
      <c r="T14" s="33" t="s">
        <v>904</v>
      </c>
      <c r="U14" s="33" t="s">
        <v>80</v>
      </c>
      <c r="V14" s="40">
        <v>19.8</v>
      </c>
      <c r="W14" s="33" t="s">
        <v>81</v>
      </c>
      <c r="X14" s="33">
        <v>8.4499999999999993</v>
      </c>
      <c r="Y14" s="33">
        <v>9.9039999999999999</v>
      </c>
      <c r="Z14" s="44" t="s">
        <v>37</v>
      </c>
      <c r="AA14" s="44" t="s">
        <v>37</v>
      </c>
      <c r="AB14" s="33">
        <v>600</v>
      </c>
      <c r="AC14" s="40">
        <f t="shared" ref="AC14:AC18" si="16">AB14/((Y14/100)*1000)</f>
        <v>6.0581583198707589</v>
      </c>
      <c r="AD14" s="40">
        <f t="shared" si="0"/>
        <v>30.203520990622792</v>
      </c>
      <c r="AE14" s="40">
        <f t="shared" si="13"/>
        <v>29.816562573016562</v>
      </c>
      <c r="AG14" s="16">
        <f t="shared" si="1"/>
        <v>0.17298163592151028</v>
      </c>
      <c r="AH14" s="26">
        <f t="shared" si="2"/>
        <v>5.7809604740571769</v>
      </c>
      <c r="AJ14" s="85" t="str">
        <f t="shared" si="3"/>
        <v>MATC</v>
      </c>
      <c r="AK14" s="9" t="e">
        <f t="shared" si="9"/>
        <v>#N/A</v>
      </c>
      <c r="AL14" s="18" t="e">
        <f t="shared" si="4"/>
        <v>#N/A</v>
      </c>
      <c r="AM14" s="88" t="str">
        <f t="shared" si="5"/>
        <v>Chronic</v>
      </c>
      <c r="AN14" s="9">
        <f t="shared" si="10"/>
        <v>1</v>
      </c>
      <c r="AO14" s="18" t="e">
        <f t="shared" si="11"/>
        <v>#N/A</v>
      </c>
      <c r="AP14" s="16"/>
      <c r="AQ14" s="101" t="str">
        <f t="shared" si="6"/>
        <v>MATC</v>
      </c>
      <c r="AR14" s="102" t="s">
        <v>463</v>
      </c>
      <c r="AS14" s="103" t="str">
        <f t="shared" si="7"/>
        <v>Chronic</v>
      </c>
      <c r="AT14" s="102" t="str">
        <f t="shared" si="14"/>
        <v>y</v>
      </c>
      <c r="AU14" s="139" t="s">
        <v>466</v>
      </c>
      <c r="AV14" s="102"/>
      <c r="AW14" s="105"/>
      <c r="AX14" s="102"/>
      <c r="AY14" s="102"/>
      <c r="AZ14" s="106"/>
      <c r="BA14" s="107"/>
      <c r="BB14" s="108"/>
      <c r="BC14" s="109"/>
      <c r="BG14" s="87" t="s">
        <v>167</v>
      </c>
      <c r="BH14" s="97">
        <v>5</v>
      </c>
    </row>
    <row r="15" spans="1:62" ht="15" customHeight="1" x14ac:dyDescent="0.25">
      <c r="A15" s="32" t="s">
        <v>82</v>
      </c>
      <c r="B15" s="33">
        <v>240</v>
      </c>
      <c r="C15" s="34" t="s">
        <v>24</v>
      </c>
      <c r="D15" s="35" t="s">
        <v>77</v>
      </c>
      <c r="E15" s="33" t="s">
        <v>61</v>
      </c>
      <c r="F15" s="33" t="s">
        <v>62</v>
      </c>
      <c r="G15" s="33" t="s">
        <v>52</v>
      </c>
      <c r="H15" s="33" t="s">
        <v>571</v>
      </c>
      <c r="I15" s="36" t="s">
        <v>78</v>
      </c>
      <c r="J15" s="36" t="s">
        <v>83</v>
      </c>
      <c r="K15" s="36" t="s">
        <v>84</v>
      </c>
      <c r="L15" s="36" t="s">
        <v>54</v>
      </c>
      <c r="M15" s="36">
        <v>21</v>
      </c>
      <c r="N15" s="33" t="s">
        <v>55</v>
      </c>
      <c r="O15" s="37" t="s">
        <v>33</v>
      </c>
      <c r="P15" s="38" t="s">
        <v>79</v>
      </c>
      <c r="Q15" s="38" t="s">
        <v>900</v>
      </c>
      <c r="R15" s="33" t="s">
        <v>905</v>
      </c>
      <c r="S15" s="33" t="s">
        <v>37</v>
      </c>
      <c r="T15" s="33" t="s">
        <v>904</v>
      </c>
      <c r="U15" s="33" t="s">
        <v>80</v>
      </c>
      <c r="V15" s="40">
        <v>19.8</v>
      </c>
      <c r="W15" s="33" t="s">
        <v>81</v>
      </c>
      <c r="X15" s="33">
        <v>8.4499999999999993</v>
      </c>
      <c r="Y15" s="33">
        <v>9.9039999999999999</v>
      </c>
      <c r="Z15" s="44" t="s">
        <v>37</v>
      </c>
      <c r="AA15" s="44" t="s">
        <v>37</v>
      </c>
      <c r="AB15" s="33">
        <v>420</v>
      </c>
      <c r="AC15" s="40">
        <f t="shared" si="16"/>
        <v>4.2407108239095308</v>
      </c>
      <c r="AD15" s="40">
        <f t="shared" si="0"/>
        <v>21.142464693435951</v>
      </c>
      <c r="AE15" s="40">
        <f t="shared" si="13"/>
        <v>20.87159380111159</v>
      </c>
      <c r="AG15" s="16">
        <f t="shared" si="1"/>
        <v>0.17298163592151028</v>
      </c>
      <c r="AH15" s="26">
        <f t="shared" si="2"/>
        <v>5.7809604740571769</v>
      </c>
      <c r="AJ15" s="85" t="str">
        <f t="shared" si="3"/>
        <v>NOEC</v>
      </c>
      <c r="AK15" s="9">
        <f t="shared" si="9"/>
        <v>1</v>
      </c>
      <c r="AL15" s="18">
        <f t="shared" si="4"/>
        <v>20.87159380111159</v>
      </c>
      <c r="AM15" s="88" t="str">
        <f t="shared" si="5"/>
        <v>Chronic</v>
      </c>
      <c r="AN15" s="9">
        <f t="shared" si="10"/>
        <v>1</v>
      </c>
      <c r="AO15" s="18">
        <f t="shared" si="11"/>
        <v>20.87159380111159</v>
      </c>
      <c r="AP15" s="16"/>
      <c r="AQ15" s="132" t="str">
        <f t="shared" si="6"/>
        <v>NOEC</v>
      </c>
      <c r="AR15" s="67" t="s">
        <v>356</v>
      </c>
      <c r="AS15" s="88" t="str">
        <f t="shared" si="7"/>
        <v>Chronic</v>
      </c>
      <c r="AT15" s="67" t="str">
        <f t="shared" si="14"/>
        <v>y</v>
      </c>
      <c r="AU15" s="69" t="str">
        <f t="shared" ref="AU15:AU23" si="17">K15</f>
        <v>Mean total young/daphnid</v>
      </c>
      <c r="AV15" s="67" t="s">
        <v>459</v>
      </c>
      <c r="AW15" s="70">
        <f t="shared" ref="AW15:AW23" si="18">M15</f>
        <v>21</v>
      </c>
      <c r="AX15" s="67" t="s">
        <v>460</v>
      </c>
      <c r="AY15" s="67"/>
      <c r="AZ15" s="82">
        <f t="shared" si="12"/>
        <v>20.87159380111159</v>
      </c>
      <c r="BA15" s="72">
        <f>GEOMEAN(AZ15:AZ15)</f>
        <v>20.87159380111159</v>
      </c>
      <c r="BB15" s="73">
        <f>MIN(BA15)</f>
        <v>20.87159380111159</v>
      </c>
      <c r="BC15" s="133"/>
      <c r="BG15" s="87" t="s">
        <v>133</v>
      </c>
      <c r="BH15" s="97">
        <v>1</v>
      </c>
    </row>
    <row r="16" spans="1:62" ht="15" customHeight="1" x14ac:dyDescent="0.25">
      <c r="A16" s="32" t="s">
        <v>85</v>
      </c>
      <c r="B16" s="33">
        <v>240</v>
      </c>
      <c r="C16" s="34" t="s">
        <v>24</v>
      </c>
      <c r="D16" s="35" t="s">
        <v>77</v>
      </c>
      <c r="E16" s="33" t="s">
        <v>61</v>
      </c>
      <c r="F16" s="33" t="s">
        <v>62</v>
      </c>
      <c r="G16" s="33" t="s">
        <v>52</v>
      </c>
      <c r="H16" s="33" t="s">
        <v>571</v>
      </c>
      <c r="I16" s="36" t="s">
        <v>78</v>
      </c>
      <c r="J16" s="36" t="s">
        <v>83</v>
      </c>
      <c r="K16" s="36" t="s">
        <v>86</v>
      </c>
      <c r="L16" s="36" t="s">
        <v>54</v>
      </c>
      <c r="M16" s="36">
        <v>21</v>
      </c>
      <c r="N16" s="33" t="s">
        <v>55</v>
      </c>
      <c r="O16" s="37" t="s">
        <v>33</v>
      </c>
      <c r="P16" s="38" t="s">
        <v>79</v>
      </c>
      <c r="Q16" s="38" t="s">
        <v>900</v>
      </c>
      <c r="R16" s="33" t="s">
        <v>905</v>
      </c>
      <c r="S16" s="33" t="s">
        <v>37</v>
      </c>
      <c r="T16" s="33" t="s">
        <v>904</v>
      </c>
      <c r="U16" s="33" t="s">
        <v>80</v>
      </c>
      <c r="V16" s="40">
        <v>19.8</v>
      </c>
      <c r="W16" s="33" t="s">
        <v>81</v>
      </c>
      <c r="X16" s="33">
        <v>8.4499999999999993</v>
      </c>
      <c r="Y16" s="33">
        <v>9.9039999999999999</v>
      </c>
      <c r="Z16" s="44" t="s">
        <v>37</v>
      </c>
      <c r="AA16" s="44" t="s">
        <v>37</v>
      </c>
      <c r="AB16" s="33">
        <v>870</v>
      </c>
      <c r="AC16" s="40">
        <f t="shared" si="16"/>
        <v>8.7843295638125998</v>
      </c>
      <c r="AD16" s="40">
        <f t="shared" si="0"/>
        <v>43.795105436403041</v>
      </c>
      <c r="AE16" s="40">
        <f t="shared" si="13"/>
        <v>43.234015730874027</v>
      </c>
      <c r="AG16" s="16">
        <f t="shared" si="1"/>
        <v>0.17298163592151028</v>
      </c>
      <c r="AH16" s="26">
        <f t="shared" si="2"/>
        <v>5.7809604740571769</v>
      </c>
      <c r="AJ16" s="85" t="str">
        <f t="shared" si="3"/>
        <v>NOEC</v>
      </c>
      <c r="AK16" s="9">
        <f t="shared" si="9"/>
        <v>1</v>
      </c>
      <c r="AL16" s="18">
        <f t="shared" si="4"/>
        <v>43.234015730874027</v>
      </c>
      <c r="AM16" s="88" t="str">
        <f t="shared" si="5"/>
        <v>Chronic</v>
      </c>
      <c r="AN16" s="9">
        <f t="shared" si="10"/>
        <v>1</v>
      </c>
      <c r="AO16" s="18">
        <f t="shared" si="11"/>
        <v>43.234015730874027</v>
      </c>
      <c r="AP16" s="16"/>
      <c r="AQ16" s="132" t="str">
        <f t="shared" si="6"/>
        <v>NOEC</v>
      </c>
      <c r="AR16" s="67" t="s">
        <v>356</v>
      </c>
      <c r="AS16" s="88" t="str">
        <f t="shared" si="7"/>
        <v>Chronic</v>
      </c>
      <c r="AT16" s="67" t="str">
        <f t="shared" si="14"/>
        <v>y</v>
      </c>
      <c r="AU16" s="69" t="str">
        <f t="shared" si="17"/>
        <v>Mean total no of broods/daphnid</v>
      </c>
      <c r="AV16" s="67" t="s">
        <v>473</v>
      </c>
      <c r="AW16" s="70">
        <f t="shared" si="18"/>
        <v>21</v>
      </c>
      <c r="AX16" s="67" t="s">
        <v>474</v>
      </c>
      <c r="AY16" s="67"/>
      <c r="AZ16" s="80">
        <f t="shared" si="12"/>
        <v>43.234015730874027</v>
      </c>
      <c r="BA16" s="81">
        <f>GEOMEAN(AZ16:AZ16)</f>
        <v>43.234015730874027</v>
      </c>
      <c r="BB16" s="78">
        <f>MIN(BA16)</f>
        <v>43.234015730874027</v>
      </c>
      <c r="BC16" s="133"/>
      <c r="BG16" s="87" t="s">
        <v>200</v>
      </c>
      <c r="BH16" s="97">
        <v>1</v>
      </c>
    </row>
    <row r="17" spans="1:61" ht="15" customHeight="1" x14ac:dyDescent="0.25">
      <c r="A17" s="32" t="s">
        <v>87</v>
      </c>
      <c r="B17" s="33">
        <v>240</v>
      </c>
      <c r="C17" s="34" t="s">
        <v>24</v>
      </c>
      <c r="D17" s="35" t="s">
        <v>77</v>
      </c>
      <c r="E17" s="33" t="s">
        <v>61</v>
      </c>
      <c r="F17" s="33" t="s">
        <v>62</v>
      </c>
      <c r="G17" s="33" t="s">
        <v>52</v>
      </c>
      <c r="H17" s="33" t="s">
        <v>571</v>
      </c>
      <c r="I17" s="36" t="s">
        <v>78</v>
      </c>
      <c r="J17" s="36" t="s">
        <v>83</v>
      </c>
      <c r="K17" s="36" t="s">
        <v>88</v>
      </c>
      <c r="L17" s="36" t="s">
        <v>54</v>
      </c>
      <c r="M17" s="36">
        <v>21</v>
      </c>
      <c r="N17" s="33" t="s">
        <v>55</v>
      </c>
      <c r="O17" s="37" t="s">
        <v>33</v>
      </c>
      <c r="P17" s="38" t="s">
        <v>79</v>
      </c>
      <c r="Q17" s="38" t="s">
        <v>900</v>
      </c>
      <c r="R17" s="33" t="s">
        <v>905</v>
      </c>
      <c r="S17" s="33" t="s">
        <v>37</v>
      </c>
      <c r="T17" s="33" t="s">
        <v>904</v>
      </c>
      <c r="U17" s="33" t="s">
        <v>80</v>
      </c>
      <c r="V17" s="40">
        <v>19.8</v>
      </c>
      <c r="W17" s="33" t="s">
        <v>81</v>
      </c>
      <c r="X17" s="33">
        <v>8.4499999999999993</v>
      </c>
      <c r="Y17" s="33">
        <v>9.9039999999999999</v>
      </c>
      <c r="Z17" s="44" t="s">
        <v>37</v>
      </c>
      <c r="AA17" s="44" t="s">
        <v>37</v>
      </c>
      <c r="AB17" s="33">
        <v>420</v>
      </c>
      <c r="AC17" s="40">
        <f t="shared" si="16"/>
        <v>4.2407108239095308</v>
      </c>
      <c r="AD17" s="40">
        <f t="shared" si="0"/>
        <v>21.142464693435951</v>
      </c>
      <c r="AE17" s="40">
        <f t="shared" si="13"/>
        <v>20.87159380111159</v>
      </c>
      <c r="AG17" s="16">
        <f t="shared" si="1"/>
        <v>0.17298163592151028</v>
      </c>
      <c r="AH17" s="26">
        <f t="shared" si="2"/>
        <v>5.7809604740571769</v>
      </c>
      <c r="AJ17" s="85" t="str">
        <f t="shared" si="3"/>
        <v>NOEC</v>
      </c>
      <c r="AK17" s="9">
        <f t="shared" si="9"/>
        <v>1</v>
      </c>
      <c r="AL17" s="18">
        <f t="shared" si="4"/>
        <v>20.87159380111159</v>
      </c>
      <c r="AM17" s="88" t="str">
        <f t="shared" si="5"/>
        <v>Chronic</v>
      </c>
      <c r="AN17" s="9">
        <f t="shared" si="10"/>
        <v>1</v>
      </c>
      <c r="AO17" s="18">
        <f t="shared" si="11"/>
        <v>20.87159380111159</v>
      </c>
      <c r="AP17" s="16"/>
      <c r="AQ17" s="132" t="str">
        <f t="shared" si="6"/>
        <v>NOEC</v>
      </c>
      <c r="AR17" s="67" t="s">
        <v>356</v>
      </c>
      <c r="AS17" s="88" t="str">
        <f t="shared" si="7"/>
        <v>Chronic</v>
      </c>
      <c r="AT17" s="67" t="str">
        <f t="shared" si="14"/>
        <v>y</v>
      </c>
      <c r="AU17" s="69" t="str">
        <f t="shared" si="17"/>
        <v>Mean brood size/daphnid</v>
      </c>
      <c r="AV17" s="67" t="s">
        <v>475</v>
      </c>
      <c r="AW17" s="70">
        <f t="shared" si="18"/>
        <v>21</v>
      </c>
      <c r="AX17" s="67" t="s">
        <v>476</v>
      </c>
      <c r="AY17" s="67"/>
      <c r="AZ17" s="82">
        <f t="shared" si="12"/>
        <v>20.87159380111159</v>
      </c>
      <c r="BA17" s="72">
        <f>GEOMEAN(AZ17:AZ17)</f>
        <v>20.87159380111159</v>
      </c>
      <c r="BB17" s="73">
        <f>MIN(BA17)</f>
        <v>20.87159380111159</v>
      </c>
      <c r="BC17" s="133"/>
      <c r="BF17" s="98" t="s">
        <v>468</v>
      </c>
      <c r="BG17" s="51" t="s">
        <v>469</v>
      </c>
      <c r="BH17" s="51" t="s">
        <v>470</v>
      </c>
      <c r="BI17" s="51" t="s">
        <v>471</v>
      </c>
    </row>
    <row r="18" spans="1:61" ht="15" customHeight="1" x14ac:dyDescent="0.25">
      <c r="A18" s="32" t="s">
        <v>89</v>
      </c>
      <c r="B18" s="33">
        <v>240</v>
      </c>
      <c r="C18" s="34" t="s">
        <v>24</v>
      </c>
      <c r="D18" s="35" t="s">
        <v>77</v>
      </c>
      <c r="E18" s="33" t="s">
        <v>61</v>
      </c>
      <c r="F18" s="33" t="s">
        <v>62</v>
      </c>
      <c r="G18" s="33" t="s">
        <v>52</v>
      </c>
      <c r="H18" s="33" t="s">
        <v>571</v>
      </c>
      <c r="I18" s="36" t="s">
        <v>78</v>
      </c>
      <c r="J18" s="36" t="s">
        <v>53</v>
      </c>
      <c r="K18" s="36" t="s">
        <v>53</v>
      </c>
      <c r="L18" s="36" t="s">
        <v>54</v>
      </c>
      <c r="M18" s="36">
        <v>21</v>
      </c>
      <c r="N18" s="33" t="s">
        <v>55</v>
      </c>
      <c r="O18" s="37" t="s">
        <v>33</v>
      </c>
      <c r="P18" s="38" t="s">
        <v>79</v>
      </c>
      <c r="Q18" s="38" t="s">
        <v>900</v>
      </c>
      <c r="R18" s="33" t="s">
        <v>905</v>
      </c>
      <c r="S18" s="33" t="s">
        <v>37</v>
      </c>
      <c r="T18" s="33" t="s">
        <v>904</v>
      </c>
      <c r="U18" s="33" t="s">
        <v>80</v>
      </c>
      <c r="V18" s="40">
        <v>19.8</v>
      </c>
      <c r="W18" s="33" t="s">
        <v>81</v>
      </c>
      <c r="X18" s="33">
        <v>8.4499999999999993</v>
      </c>
      <c r="Y18" s="33">
        <v>9.9039999999999999</v>
      </c>
      <c r="Z18" s="44" t="s">
        <v>37</v>
      </c>
      <c r="AA18" s="44" t="s">
        <v>37</v>
      </c>
      <c r="AB18" s="33">
        <v>420</v>
      </c>
      <c r="AC18" s="40">
        <f t="shared" si="16"/>
        <v>4.2407108239095308</v>
      </c>
      <c r="AD18" s="40">
        <f t="shared" si="0"/>
        <v>21.142464693435951</v>
      </c>
      <c r="AE18" s="40">
        <f t="shared" si="13"/>
        <v>20.87159380111159</v>
      </c>
      <c r="AG18" s="16">
        <f t="shared" si="1"/>
        <v>0.17298163592151028</v>
      </c>
      <c r="AH18" s="26">
        <f t="shared" si="2"/>
        <v>5.7809604740571769</v>
      </c>
      <c r="AJ18" s="85" t="str">
        <f t="shared" si="3"/>
        <v>NOEC</v>
      </c>
      <c r="AK18" s="9">
        <f t="shared" si="9"/>
        <v>1</v>
      </c>
      <c r="AL18" s="18">
        <f t="shared" si="4"/>
        <v>20.87159380111159</v>
      </c>
      <c r="AM18" s="88" t="str">
        <f t="shared" si="5"/>
        <v>Chronic</v>
      </c>
      <c r="AN18" s="9">
        <f t="shared" si="10"/>
        <v>1</v>
      </c>
      <c r="AO18" s="18">
        <f t="shared" si="11"/>
        <v>20.87159380111159</v>
      </c>
      <c r="AP18" s="16"/>
      <c r="AQ18" s="110" t="str">
        <f t="shared" si="6"/>
        <v>NOEC</v>
      </c>
      <c r="AR18" s="111" t="s">
        <v>356</v>
      </c>
      <c r="AS18" s="112" t="str">
        <f t="shared" si="7"/>
        <v>Chronic</v>
      </c>
      <c r="AT18" s="111" t="str">
        <f t="shared" si="14"/>
        <v>y</v>
      </c>
      <c r="AU18" s="134" t="str">
        <f t="shared" si="17"/>
        <v>Mortality</v>
      </c>
      <c r="AV18" s="111" t="s">
        <v>55</v>
      </c>
      <c r="AW18" s="114">
        <f t="shared" si="18"/>
        <v>21</v>
      </c>
      <c r="AX18" s="111" t="s">
        <v>477</v>
      </c>
      <c r="AY18" s="111"/>
      <c r="AZ18" s="138">
        <f t="shared" si="12"/>
        <v>20.87159380111159</v>
      </c>
      <c r="BA18" s="140">
        <f>GEOMEAN(AZ18:AZ18)</f>
        <v>20.87159380111159</v>
      </c>
      <c r="BB18" s="141">
        <f>MIN(BA18)</f>
        <v>20.87159380111159</v>
      </c>
      <c r="BC18" s="137">
        <f>MIN(BB14:BB18)</f>
        <v>20.87159380111159</v>
      </c>
      <c r="BD18" t="s">
        <v>575</v>
      </c>
      <c r="BG18" s="99" t="s">
        <v>33</v>
      </c>
      <c r="BH18" s="97">
        <v>1</v>
      </c>
      <c r="BI18" s="87" t="s">
        <v>33</v>
      </c>
    </row>
    <row r="19" spans="1:61" ht="16" x14ac:dyDescent="0.25">
      <c r="A19" s="19" t="s">
        <v>90</v>
      </c>
      <c r="B19" s="23">
        <v>231</v>
      </c>
      <c r="C19" s="10" t="s">
        <v>24</v>
      </c>
      <c r="D19" s="11" t="s">
        <v>91</v>
      </c>
      <c r="E19" s="9" t="s">
        <v>61</v>
      </c>
      <c r="F19" s="9" t="s">
        <v>92</v>
      </c>
      <c r="G19" s="9" t="s">
        <v>93</v>
      </c>
      <c r="H19" s="9" t="s">
        <v>571</v>
      </c>
      <c r="I19" s="9" t="s">
        <v>94</v>
      </c>
      <c r="J19" s="12" t="s">
        <v>53</v>
      </c>
      <c r="K19" s="12" t="s">
        <v>95</v>
      </c>
      <c r="L19" s="12" t="s">
        <v>54</v>
      </c>
      <c r="M19" s="9">
        <v>29</v>
      </c>
      <c r="N19" s="9" t="s">
        <v>55</v>
      </c>
      <c r="O19" s="9" t="s">
        <v>33</v>
      </c>
      <c r="P19" s="14" t="s">
        <v>906</v>
      </c>
      <c r="Q19" s="14" t="s">
        <v>900</v>
      </c>
      <c r="R19" s="9" t="s">
        <v>37</v>
      </c>
      <c r="S19" s="9" t="s">
        <v>37</v>
      </c>
      <c r="T19" s="9">
        <v>35</v>
      </c>
      <c r="U19" s="23">
        <v>15.8</v>
      </c>
      <c r="V19" s="94">
        <v>15.8</v>
      </c>
      <c r="W19" s="9">
        <v>8.3699999999999992</v>
      </c>
      <c r="X19" s="9">
        <v>8.3699999999999992</v>
      </c>
      <c r="Y19" s="9">
        <v>6.3609999999999998</v>
      </c>
      <c r="Z19" s="9">
        <v>0.94899999999999995</v>
      </c>
      <c r="AA19" s="9">
        <v>66</v>
      </c>
      <c r="AB19" s="9">
        <v>66</v>
      </c>
      <c r="AC19" s="9">
        <v>0.94899999999999995</v>
      </c>
      <c r="AD19" s="15">
        <f t="shared" si="0"/>
        <v>4.1349303568432507</v>
      </c>
      <c r="AE19" s="15">
        <f t="shared" si="13"/>
        <v>3.1540472803829305</v>
      </c>
      <c r="AG19" s="16">
        <f t="shared" si="1"/>
        <v>0.20796966871036979</v>
      </c>
      <c r="AH19" s="26">
        <f t="shared" si="2"/>
        <v>4.8083934844972802</v>
      </c>
      <c r="AJ19" s="85" t="str">
        <f t="shared" si="3"/>
        <v>NOEC</v>
      </c>
      <c r="AK19" s="9">
        <f t="shared" si="9"/>
        <v>1</v>
      </c>
      <c r="AL19" s="18">
        <f t="shared" si="4"/>
        <v>3.1540472803829305</v>
      </c>
      <c r="AM19" s="88" t="str">
        <f t="shared" si="5"/>
        <v>Chronic</v>
      </c>
      <c r="AN19" s="9">
        <f t="shared" si="10"/>
        <v>1</v>
      </c>
      <c r="AO19" s="18">
        <f t="shared" si="11"/>
        <v>3.1540472803829305</v>
      </c>
      <c r="AP19" s="16"/>
      <c r="AQ19" s="127" t="str">
        <f t="shared" si="6"/>
        <v>NOEC</v>
      </c>
      <c r="AR19" s="128" t="s">
        <v>356</v>
      </c>
      <c r="AS19" s="129" t="str">
        <f t="shared" si="7"/>
        <v>Chronic</v>
      </c>
      <c r="AT19" s="128" t="str">
        <f t="shared" si="14"/>
        <v>y</v>
      </c>
      <c r="AU19" s="130" t="str">
        <f t="shared" si="17"/>
        <v>Mortality (of juvenile Deleatidium sp.)</v>
      </c>
      <c r="AV19" s="128" t="s">
        <v>459</v>
      </c>
      <c r="AW19" s="131">
        <f t="shared" si="18"/>
        <v>29</v>
      </c>
      <c r="AX19" s="128" t="s">
        <v>460</v>
      </c>
      <c r="AY19" s="128"/>
      <c r="AZ19" s="143">
        <f t="shared" si="12"/>
        <v>3.1540472803829305</v>
      </c>
      <c r="BA19" s="144">
        <f t="shared" ref="BA19:BA23" si="19">GEOMEAN(AZ19:AZ19)</f>
        <v>3.1540472803829305</v>
      </c>
      <c r="BB19" s="141">
        <f>MIN(BA19)</f>
        <v>3.1540472803829305</v>
      </c>
      <c r="BC19" s="142">
        <f>MIN(BB19:BB19)</f>
        <v>3.1540472803829305</v>
      </c>
      <c r="BG19" s="99" t="s">
        <v>472</v>
      </c>
      <c r="BH19" s="97">
        <v>2</v>
      </c>
      <c r="BI19" s="87" t="s">
        <v>33</v>
      </c>
    </row>
    <row r="20" spans="1:61" ht="15" customHeight="1" x14ac:dyDescent="0.25">
      <c r="A20" s="32" t="s">
        <v>97</v>
      </c>
      <c r="B20" s="44">
        <v>221</v>
      </c>
      <c r="C20" s="34" t="s">
        <v>24</v>
      </c>
      <c r="D20" s="35" t="s">
        <v>98</v>
      </c>
      <c r="E20" s="33" t="s">
        <v>61</v>
      </c>
      <c r="F20" s="33" t="s">
        <v>99</v>
      </c>
      <c r="G20" s="33" t="s">
        <v>93</v>
      </c>
      <c r="H20" s="33" t="s">
        <v>571</v>
      </c>
      <c r="I20" s="36" t="s">
        <v>100</v>
      </c>
      <c r="J20" s="36" t="s">
        <v>64</v>
      </c>
      <c r="K20" s="44" t="s">
        <v>101</v>
      </c>
      <c r="L20" s="36" t="s">
        <v>54</v>
      </c>
      <c r="M20" s="36">
        <v>10</v>
      </c>
      <c r="N20" s="33" t="s">
        <v>102</v>
      </c>
      <c r="O20" s="33" t="s">
        <v>33</v>
      </c>
      <c r="P20" s="45" t="s">
        <v>103</v>
      </c>
      <c r="Q20" s="38" t="s">
        <v>900</v>
      </c>
      <c r="R20" s="44" t="s">
        <v>37</v>
      </c>
      <c r="S20" s="44" t="s">
        <v>37</v>
      </c>
      <c r="T20" s="44">
        <v>130</v>
      </c>
      <c r="U20" s="44">
        <v>25</v>
      </c>
      <c r="V20" s="44">
        <v>25</v>
      </c>
      <c r="W20" s="33" t="s">
        <v>104</v>
      </c>
      <c r="X20" s="33">
        <v>8.0399999999999991</v>
      </c>
      <c r="Y20" s="46">
        <v>5.8536524151080886</v>
      </c>
      <c r="Z20" s="33">
        <v>2.5</v>
      </c>
      <c r="AA20" s="33" t="s">
        <v>37</v>
      </c>
      <c r="AB20" s="39">
        <f t="shared" ref="AB20:AB23" si="20">(Z20)*(Y20/100)*1000</f>
        <v>146.3413103777022</v>
      </c>
      <c r="AC20" s="33">
        <v>2.5</v>
      </c>
      <c r="AD20" s="40">
        <f t="shared" si="0"/>
        <v>6.4367096033276967</v>
      </c>
      <c r="AE20" s="40">
        <f t="shared" si="13"/>
        <v>8.8851326522518281</v>
      </c>
      <c r="AG20" s="16">
        <f t="shared" si="1"/>
        <v>0.4446312674691093</v>
      </c>
      <c r="AH20" s="26">
        <f t="shared" si="2"/>
        <v>2.2490546058357781</v>
      </c>
      <c r="AJ20" s="85" t="str">
        <f t="shared" si="3"/>
        <v>NOEC</v>
      </c>
      <c r="AK20" s="9">
        <f t="shared" si="9"/>
        <v>1</v>
      </c>
      <c r="AL20" s="18">
        <f t="shared" si="4"/>
        <v>8.8851326522518281</v>
      </c>
      <c r="AM20" s="88" t="str">
        <f t="shared" si="5"/>
        <v>Chronic</v>
      </c>
      <c r="AN20" s="9">
        <f t="shared" si="10"/>
        <v>1</v>
      </c>
      <c r="AO20" s="18">
        <f t="shared" si="11"/>
        <v>8.8851326522518281</v>
      </c>
      <c r="AP20" s="16"/>
      <c r="AQ20" s="101" t="str">
        <f t="shared" si="6"/>
        <v>NOEC</v>
      </c>
      <c r="AR20" s="102" t="s">
        <v>356</v>
      </c>
      <c r="AS20" s="103" t="str">
        <f t="shared" si="7"/>
        <v>Chronic</v>
      </c>
      <c r="AT20" s="102" t="str">
        <f t="shared" si="14"/>
        <v>y</v>
      </c>
      <c r="AU20" s="104" t="str">
        <f t="shared" si="17"/>
        <v>Reproduction (average young per replicate)</v>
      </c>
      <c r="AV20" s="102" t="s">
        <v>459</v>
      </c>
      <c r="AW20" s="105">
        <f t="shared" si="18"/>
        <v>10</v>
      </c>
      <c r="AX20" s="102" t="s">
        <v>460</v>
      </c>
      <c r="AY20" s="102"/>
      <c r="AZ20" s="147">
        <f t="shared" si="12"/>
        <v>8.8851326522518281</v>
      </c>
      <c r="BA20" s="118">
        <f t="shared" si="19"/>
        <v>8.8851326522518281</v>
      </c>
      <c r="BB20" s="73">
        <f>MIN(BA20:BA21)</f>
        <v>8.8851326522518281</v>
      </c>
      <c r="BC20" s="126">
        <f>MIN(BB20:BB22)</f>
        <v>8.8851326522518281</v>
      </c>
    </row>
    <row r="21" spans="1:61" ht="15" customHeight="1" x14ac:dyDescent="0.25">
      <c r="A21" s="32" t="s">
        <v>105</v>
      </c>
      <c r="B21" s="44">
        <v>221</v>
      </c>
      <c r="C21" s="34" t="s">
        <v>24</v>
      </c>
      <c r="D21" s="35" t="s">
        <v>98</v>
      </c>
      <c r="E21" s="33" t="s">
        <v>61</v>
      </c>
      <c r="F21" s="33" t="s">
        <v>99</v>
      </c>
      <c r="G21" s="33" t="s">
        <v>93</v>
      </c>
      <c r="H21" s="33" t="s">
        <v>571</v>
      </c>
      <c r="I21" s="36" t="s">
        <v>106</v>
      </c>
      <c r="J21" s="36" t="s">
        <v>64</v>
      </c>
      <c r="K21" s="44" t="s">
        <v>101</v>
      </c>
      <c r="L21" s="36" t="s">
        <v>54</v>
      </c>
      <c r="M21" s="36">
        <v>6</v>
      </c>
      <c r="N21" s="33" t="s">
        <v>102</v>
      </c>
      <c r="O21" s="33" t="s">
        <v>33</v>
      </c>
      <c r="P21" s="45" t="s">
        <v>103</v>
      </c>
      <c r="Q21" s="38" t="s">
        <v>900</v>
      </c>
      <c r="R21" s="44" t="s">
        <v>37</v>
      </c>
      <c r="S21" s="44" t="s">
        <v>37</v>
      </c>
      <c r="T21" s="44">
        <v>130</v>
      </c>
      <c r="U21" s="44">
        <v>25</v>
      </c>
      <c r="V21" s="44">
        <v>25</v>
      </c>
      <c r="W21" s="33" t="s">
        <v>107</v>
      </c>
      <c r="X21" s="33">
        <v>8.43</v>
      </c>
      <c r="Y21" s="46">
        <v>13.241455150071291</v>
      </c>
      <c r="Z21" s="33">
        <v>5</v>
      </c>
      <c r="AA21" s="33" t="s">
        <v>37</v>
      </c>
      <c r="AB21" s="39">
        <f t="shared" si="20"/>
        <v>662.0727575035645</v>
      </c>
      <c r="AC21" s="33">
        <v>5</v>
      </c>
      <c r="AD21" s="40">
        <f t="shared" si="0"/>
        <v>24.099647814642903</v>
      </c>
      <c r="AE21" s="40">
        <f t="shared" si="13"/>
        <v>33.266774625804359</v>
      </c>
      <c r="AG21" s="16">
        <f t="shared" si="1"/>
        <v>0.18113400926196022</v>
      </c>
      <c r="AH21" s="26">
        <f t="shared" si="2"/>
        <v>5.5207743928075743</v>
      </c>
      <c r="AJ21" s="85" t="str">
        <f t="shared" si="3"/>
        <v>NOEC</v>
      </c>
      <c r="AK21" s="9">
        <f t="shared" si="9"/>
        <v>1</v>
      </c>
      <c r="AL21" s="18">
        <f t="shared" si="4"/>
        <v>33.266774625804359</v>
      </c>
      <c r="AM21" s="88" t="str">
        <f t="shared" si="5"/>
        <v>Chronic</v>
      </c>
      <c r="AN21" s="9">
        <f t="shared" si="10"/>
        <v>1</v>
      </c>
      <c r="AO21" s="18">
        <f t="shared" si="11"/>
        <v>33.266774625804359</v>
      </c>
      <c r="AP21" s="16"/>
      <c r="AQ21" s="132" t="str">
        <f t="shared" si="6"/>
        <v>NOEC</v>
      </c>
      <c r="AR21" s="67" t="s">
        <v>356</v>
      </c>
      <c r="AS21" s="88" t="str">
        <f t="shared" si="7"/>
        <v>Chronic</v>
      </c>
      <c r="AT21" s="67" t="str">
        <f t="shared" si="14"/>
        <v>y</v>
      </c>
      <c r="AU21" s="69" t="str">
        <f t="shared" si="17"/>
        <v>Reproduction (average young per replicate)</v>
      </c>
      <c r="AV21" s="67" t="s">
        <v>459</v>
      </c>
      <c r="AW21" s="70">
        <f t="shared" si="18"/>
        <v>6</v>
      </c>
      <c r="AX21" s="67" t="s">
        <v>478</v>
      </c>
      <c r="AY21" s="67"/>
      <c r="AZ21" s="80">
        <f t="shared" si="12"/>
        <v>33.266774625804359</v>
      </c>
      <c r="BA21" s="81">
        <f t="shared" si="19"/>
        <v>33.266774625804359</v>
      </c>
      <c r="BB21" s="78"/>
      <c r="BC21" s="133"/>
    </row>
    <row r="22" spans="1:61" ht="15" customHeight="1" x14ac:dyDescent="0.25">
      <c r="A22" s="32" t="s">
        <v>108</v>
      </c>
      <c r="B22" s="44">
        <v>221</v>
      </c>
      <c r="C22" s="34" t="s">
        <v>24</v>
      </c>
      <c r="D22" s="35" t="s">
        <v>98</v>
      </c>
      <c r="E22" s="33" t="s">
        <v>61</v>
      </c>
      <c r="F22" s="33" t="s">
        <v>99</v>
      </c>
      <c r="G22" s="33" t="s">
        <v>93</v>
      </c>
      <c r="H22" s="33" t="s">
        <v>571</v>
      </c>
      <c r="I22" s="36" t="s">
        <v>100</v>
      </c>
      <c r="J22" s="36" t="s">
        <v>109</v>
      </c>
      <c r="K22" s="44" t="s">
        <v>109</v>
      </c>
      <c r="L22" s="36" t="s">
        <v>54</v>
      </c>
      <c r="M22" s="36">
        <v>10</v>
      </c>
      <c r="N22" s="33" t="s">
        <v>102</v>
      </c>
      <c r="O22" s="33" t="s">
        <v>33</v>
      </c>
      <c r="P22" s="38" t="s">
        <v>103</v>
      </c>
      <c r="Q22" s="38" t="s">
        <v>900</v>
      </c>
      <c r="R22" s="44" t="s">
        <v>37</v>
      </c>
      <c r="S22" s="44" t="s">
        <v>37</v>
      </c>
      <c r="T22" s="44">
        <v>130</v>
      </c>
      <c r="U22" s="44">
        <v>25</v>
      </c>
      <c r="V22" s="44">
        <v>25</v>
      </c>
      <c r="W22" s="33" t="s">
        <v>104</v>
      </c>
      <c r="X22" s="33">
        <v>8.0399999999999991</v>
      </c>
      <c r="Y22" s="46">
        <v>5.8536524151080886</v>
      </c>
      <c r="Z22" s="33">
        <v>8.4</v>
      </c>
      <c r="AA22" s="33" t="s">
        <v>37</v>
      </c>
      <c r="AB22" s="39">
        <f t="shared" si="20"/>
        <v>491.70680286907941</v>
      </c>
      <c r="AC22" s="33">
        <v>8.4</v>
      </c>
      <c r="AD22" s="40">
        <f t="shared" si="0"/>
        <v>21.627344267181062</v>
      </c>
      <c r="AE22" s="40">
        <f t="shared" si="13"/>
        <v>29.854045711566158</v>
      </c>
      <c r="AG22" s="16">
        <f t="shared" si="1"/>
        <v>0.4446312674691093</v>
      </c>
      <c r="AH22" s="26">
        <f t="shared" si="2"/>
        <v>2.2490546058357781</v>
      </c>
      <c r="AJ22" s="85" t="str">
        <f t="shared" si="3"/>
        <v>NOEC</v>
      </c>
      <c r="AK22" s="9">
        <f t="shared" si="9"/>
        <v>1</v>
      </c>
      <c r="AL22" s="18">
        <f t="shared" si="4"/>
        <v>29.854045711566158</v>
      </c>
      <c r="AM22" s="88" t="str">
        <f t="shared" si="5"/>
        <v>Chronic</v>
      </c>
      <c r="AN22" s="9">
        <f t="shared" si="10"/>
        <v>1</v>
      </c>
      <c r="AO22" s="18">
        <f t="shared" si="11"/>
        <v>29.854045711566158</v>
      </c>
      <c r="AP22" s="16"/>
      <c r="AQ22" s="132" t="str">
        <f t="shared" si="6"/>
        <v>NOEC</v>
      </c>
      <c r="AR22" s="67" t="s">
        <v>356</v>
      </c>
      <c r="AS22" s="88" t="str">
        <f t="shared" si="7"/>
        <v>Chronic</v>
      </c>
      <c r="AT22" s="67" t="str">
        <f t="shared" si="14"/>
        <v>y</v>
      </c>
      <c r="AU22" s="69" t="str">
        <f t="shared" si="17"/>
        <v>Survival</v>
      </c>
      <c r="AV22" s="67" t="s">
        <v>473</v>
      </c>
      <c r="AW22" s="70">
        <f t="shared" si="18"/>
        <v>10</v>
      </c>
      <c r="AX22" s="67" t="s">
        <v>474</v>
      </c>
      <c r="AY22" s="67"/>
      <c r="AZ22" s="82">
        <f t="shared" si="12"/>
        <v>29.854045711566158</v>
      </c>
      <c r="BA22" s="72">
        <f t="shared" si="19"/>
        <v>29.854045711566158</v>
      </c>
      <c r="BB22" s="73">
        <f>MIN(BA22:BA23)</f>
        <v>29.854045711566158</v>
      </c>
      <c r="BC22" s="133"/>
    </row>
    <row r="23" spans="1:61" ht="15" customHeight="1" x14ac:dyDescent="0.25">
      <c r="A23" s="32" t="s">
        <v>110</v>
      </c>
      <c r="B23" s="44">
        <v>221</v>
      </c>
      <c r="C23" s="34" t="s">
        <v>24</v>
      </c>
      <c r="D23" s="35" t="s">
        <v>98</v>
      </c>
      <c r="E23" s="33" t="s">
        <v>61</v>
      </c>
      <c r="F23" s="33" t="s">
        <v>99</v>
      </c>
      <c r="G23" s="33" t="s">
        <v>93</v>
      </c>
      <c r="H23" s="33" t="s">
        <v>571</v>
      </c>
      <c r="I23" s="36" t="s">
        <v>106</v>
      </c>
      <c r="J23" s="36" t="s">
        <v>109</v>
      </c>
      <c r="K23" s="44" t="s">
        <v>109</v>
      </c>
      <c r="L23" s="36" t="s">
        <v>54</v>
      </c>
      <c r="M23" s="36">
        <v>6</v>
      </c>
      <c r="N23" s="33" t="s">
        <v>102</v>
      </c>
      <c r="O23" s="33" t="s">
        <v>33</v>
      </c>
      <c r="P23" s="45" t="s">
        <v>103</v>
      </c>
      <c r="Q23" s="38" t="s">
        <v>900</v>
      </c>
      <c r="R23" s="44" t="s">
        <v>37</v>
      </c>
      <c r="S23" s="44" t="s">
        <v>37</v>
      </c>
      <c r="T23" s="44">
        <v>130</v>
      </c>
      <c r="U23" s="44">
        <v>25</v>
      </c>
      <c r="V23" s="44">
        <v>25</v>
      </c>
      <c r="W23" s="33" t="s">
        <v>107</v>
      </c>
      <c r="X23" s="33">
        <v>8.43</v>
      </c>
      <c r="Y23" s="46">
        <v>13.241455150071291</v>
      </c>
      <c r="Z23" s="33">
        <v>8.5</v>
      </c>
      <c r="AA23" s="33" t="s">
        <v>37</v>
      </c>
      <c r="AB23" s="39">
        <f t="shared" si="20"/>
        <v>1125.5236877560596</v>
      </c>
      <c r="AC23" s="33">
        <v>8.5</v>
      </c>
      <c r="AD23" s="40">
        <f t="shared" si="0"/>
        <v>40.969401284892939</v>
      </c>
      <c r="AE23" s="40">
        <f t="shared" si="13"/>
        <v>56.553516863867451</v>
      </c>
      <c r="AG23" s="16">
        <f t="shared" si="1"/>
        <v>0.18113400926196022</v>
      </c>
      <c r="AH23" s="26">
        <f t="shared" si="2"/>
        <v>5.5207743928075743</v>
      </c>
      <c r="AJ23" s="85" t="str">
        <f t="shared" si="3"/>
        <v>NOEC</v>
      </c>
      <c r="AK23" s="9">
        <f t="shared" si="9"/>
        <v>1</v>
      </c>
      <c r="AL23" s="18">
        <f t="shared" si="4"/>
        <v>56.553516863867451</v>
      </c>
      <c r="AM23" s="88" t="str">
        <f t="shared" si="5"/>
        <v>Chronic</v>
      </c>
      <c r="AN23" s="9">
        <f t="shared" si="10"/>
        <v>1</v>
      </c>
      <c r="AO23" s="18">
        <f t="shared" si="11"/>
        <v>56.553516863867451</v>
      </c>
      <c r="AQ23" s="132" t="str">
        <f t="shared" si="6"/>
        <v>NOEC</v>
      </c>
      <c r="AR23" s="67" t="s">
        <v>356</v>
      </c>
      <c r="AS23" s="88" t="str">
        <f t="shared" si="7"/>
        <v>Chronic</v>
      </c>
      <c r="AT23" s="67" t="str">
        <f t="shared" si="14"/>
        <v>y</v>
      </c>
      <c r="AU23" s="69" t="str">
        <f t="shared" si="17"/>
        <v>Survival</v>
      </c>
      <c r="AV23" s="67" t="s">
        <v>473</v>
      </c>
      <c r="AW23" s="70">
        <f t="shared" si="18"/>
        <v>6</v>
      </c>
      <c r="AX23" s="67" t="s">
        <v>479</v>
      </c>
      <c r="AZ23" s="80">
        <f t="shared" si="12"/>
        <v>56.553516863867451</v>
      </c>
      <c r="BA23" s="72">
        <f t="shared" si="19"/>
        <v>56.553516863867451</v>
      </c>
      <c r="BC23" s="145"/>
      <c r="BF23" t="s">
        <v>515</v>
      </c>
    </row>
    <row r="24" spans="1:61" ht="15" customHeight="1" x14ac:dyDescent="0.25">
      <c r="A24" s="32" t="s">
        <v>111</v>
      </c>
      <c r="B24" s="44">
        <v>221</v>
      </c>
      <c r="C24" s="34" t="s">
        <v>24</v>
      </c>
      <c r="D24" s="35" t="s">
        <v>98</v>
      </c>
      <c r="E24" s="33" t="s">
        <v>61</v>
      </c>
      <c r="F24" s="33" t="s">
        <v>99</v>
      </c>
      <c r="G24" s="33" t="s">
        <v>93</v>
      </c>
      <c r="H24" s="33" t="s">
        <v>571</v>
      </c>
      <c r="I24" s="36" t="s">
        <v>100</v>
      </c>
      <c r="J24" s="36" t="s">
        <v>109</v>
      </c>
      <c r="K24" s="44" t="s">
        <v>109</v>
      </c>
      <c r="L24" s="36" t="s">
        <v>112</v>
      </c>
      <c r="M24" s="36">
        <v>4</v>
      </c>
      <c r="N24" s="33" t="s">
        <v>102</v>
      </c>
      <c r="O24" s="33" t="s">
        <v>33</v>
      </c>
      <c r="P24" s="47" t="s">
        <v>113</v>
      </c>
      <c r="Q24" s="38" t="s">
        <v>900</v>
      </c>
      <c r="R24" s="44" t="s">
        <v>37</v>
      </c>
      <c r="S24" s="44" t="s">
        <v>37</v>
      </c>
      <c r="T24" s="44">
        <v>130</v>
      </c>
      <c r="U24" s="44">
        <v>25</v>
      </c>
      <c r="V24" s="44">
        <v>25</v>
      </c>
      <c r="W24" s="33" t="s">
        <v>114</v>
      </c>
      <c r="X24" s="33">
        <v>7.4</v>
      </c>
      <c r="Y24" s="46">
        <v>1.404368652855315</v>
      </c>
      <c r="Z24" s="33">
        <v>1.1000000000000001</v>
      </c>
      <c r="AA24" s="33">
        <v>17</v>
      </c>
      <c r="AB24" s="33">
        <v>17</v>
      </c>
      <c r="AC24" s="33">
        <v>1.1000000000000001</v>
      </c>
      <c r="AD24" s="40">
        <f t="shared" si="0"/>
        <v>1.3732548692927624</v>
      </c>
      <c r="AE24" s="40">
        <f t="shared" si="13"/>
        <v>1.8956194128610206</v>
      </c>
      <c r="AG24" s="16">
        <f t="shared" si="1"/>
        <v>1.9408858775927755</v>
      </c>
      <c r="AH24" s="26">
        <f t="shared" si="2"/>
        <v>0.51522864458175721</v>
      </c>
      <c r="AJ24" s="85" t="str">
        <f t="shared" si="3"/>
        <v>LC50</v>
      </c>
      <c r="AK24" s="9">
        <f t="shared" si="9"/>
        <v>5</v>
      </c>
      <c r="AL24" s="18">
        <f t="shared" si="4"/>
        <v>0.37912388257220414</v>
      </c>
      <c r="AM24" s="88" t="str">
        <f t="shared" si="5"/>
        <v>Chronic</v>
      </c>
      <c r="AN24" s="9">
        <f t="shared" si="10"/>
        <v>1</v>
      </c>
      <c r="AO24" s="18">
        <f t="shared" si="11"/>
        <v>0.37912388257220414</v>
      </c>
      <c r="AP24" s="16"/>
      <c r="AQ24" s="132" t="str">
        <f t="shared" si="6"/>
        <v>LC50</v>
      </c>
      <c r="AR24" s="67" t="s">
        <v>463</v>
      </c>
      <c r="AS24" s="88" t="str">
        <f t="shared" si="7"/>
        <v>Chronic</v>
      </c>
      <c r="AT24" s="67" t="str">
        <f t="shared" si="14"/>
        <v>y</v>
      </c>
      <c r="AU24" s="76" t="s">
        <v>466</v>
      </c>
      <c r="AV24" s="67"/>
      <c r="AW24" s="70"/>
      <c r="AX24" s="67"/>
      <c r="AY24" s="67"/>
      <c r="AZ24" s="80"/>
      <c r="BA24" s="81"/>
      <c r="BB24" s="78"/>
      <c r="BC24" s="133"/>
      <c r="BF24" s="76" t="s">
        <v>464</v>
      </c>
    </row>
    <row r="25" spans="1:61" ht="15" customHeight="1" x14ac:dyDescent="0.25">
      <c r="A25" s="32" t="s">
        <v>115</v>
      </c>
      <c r="B25" s="44">
        <v>221</v>
      </c>
      <c r="C25" s="34" t="s">
        <v>24</v>
      </c>
      <c r="D25" s="35" t="s">
        <v>98</v>
      </c>
      <c r="E25" s="33" t="s">
        <v>61</v>
      </c>
      <c r="F25" s="33" t="s">
        <v>99</v>
      </c>
      <c r="G25" s="33" t="s">
        <v>93</v>
      </c>
      <c r="H25" s="33" t="s">
        <v>571</v>
      </c>
      <c r="I25" s="36" t="s">
        <v>100</v>
      </c>
      <c r="J25" s="36" t="s">
        <v>109</v>
      </c>
      <c r="K25" s="44" t="s">
        <v>109</v>
      </c>
      <c r="L25" s="36" t="s">
        <v>112</v>
      </c>
      <c r="M25" s="36">
        <v>4</v>
      </c>
      <c r="N25" s="33" t="s">
        <v>102</v>
      </c>
      <c r="O25" s="33" t="s">
        <v>33</v>
      </c>
      <c r="P25" s="45" t="s">
        <v>103</v>
      </c>
      <c r="Q25" s="38" t="s">
        <v>900</v>
      </c>
      <c r="R25" s="44" t="s">
        <v>37</v>
      </c>
      <c r="S25" s="44" t="s">
        <v>37</v>
      </c>
      <c r="T25" s="44">
        <v>130</v>
      </c>
      <c r="U25" s="44">
        <v>25</v>
      </c>
      <c r="V25" s="44">
        <v>25</v>
      </c>
      <c r="W25" s="33" t="s">
        <v>116</v>
      </c>
      <c r="X25" s="33">
        <v>7.28</v>
      </c>
      <c r="Y25" s="46">
        <v>1.0689467893778588</v>
      </c>
      <c r="Z25" s="33">
        <v>13</v>
      </c>
      <c r="AA25" s="33">
        <v>110</v>
      </c>
      <c r="AB25" s="33">
        <v>110</v>
      </c>
      <c r="AC25" s="33">
        <v>13</v>
      </c>
      <c r="AD25" s="40">
        <f t="shared" si="0"/>
        <v>14.939642156473873</v>
      </c>
      <c r="AE25" s="40">
        <f t="shared" si="13"/>
        <v>20.622446951594458</v>
      </c>
      <c r="AG25" s="16">
        <f t="shared" si="1"/>
        <v>2.558585886905643</v>
      </c>
      <c r="AH25" s="26">
        <f t="shared" si="2"/>
        <v>0.39084089579240244</v>
      </c>
      <c r="AJ25" s="85" t="str">
        <f t="shared" si="3"/>
        <v>LC50</v>
      </c>
      <c r="AK25" s="9">
        <f t="shared" si="9"/>
        <v>5</v>
      </c>
      <c r="AL25" s="18">
        <f t="shared" si="4"/>
        <v>4.1244893903188915</v>
      </c>
      <c r="AM25" s="88" t="str">
        <f t="shared" si="5"/>
        <v>Chronic</v>
      </c>
      <c r="AN25" s="9">
        <f t="shared" si="10"/>
        <v>1</v>
      </c>
      <c r="AO25" s="18">
        <f t="shared" si="11"/>
        <v>4.1244893903188915</v>
      </c>
      <c r="AP25" s="16"/>
      <c r="AQ25" s="132" t="str">
        <f t="shared" si="6"/>
        <v>LC50</v>
      </c>
      <c r="AR25" s="67" t="s">
        <v>463</v>
      </c>
      <c r="AS25" s="88" t="str">
        <f t="shared" si="7"/>
        <v>Chronic</v>
      </c>
      <c r="AT25" s="67" t="str">
        <f t="shared" si="14"/>
        <v>y</v>
      </c>
      <c r="AU25" s="76" t="s">
        <v>466</v>
      </c>
      <c r="AV25" s="16"/>
      <c r="AW25" s="70"/>
      <c r="AX25" s="16"/>
      <c r="AY25" s="16"/>
      <c r="AZ25" s="80"/>
      <c r="BA25" s="83"/>
      <c r="BB25" s="83"/>
      <c r="BC25" s="146"/>
      <c r="BF25" s="76" t="s">
        <v>467</v>
      </c>
    </row>
    <row r="26" spans="1:61" ht="15" customHeight="1" x14ac:dyDescent="0.25">
      <c r="A26" s="32" t="s">
        <v>117</v>
      </c>
      <c r="B26" s="44">
        <v>221</v>
      </c>
      <c r="C26" s="34" t="s">
        <v>24</v>
      </c>
      <c r="D26" s="35" t="s">
        <v>98</v>
      </c>
      <c r="E26" s="33" t="s">
        <v>61</v>
      </c>
      <c r="F26" s="33" t="s">
        <v>99</v>
      </c>
      <c r="G26" s="33" t="s">
        <v>93</v>
      </c>
      <c r="H26" s="33" t="s">
        <v>571</v>
      </c>
      <c r="I26" s="36" t="s">
        <v>100</v>
      </c>
      <c r="J26" s="36" t="s">
        <v>109</v>
      </c>
      <c r="K26" s="44" t="s">
        <v>109</v>
      </c>
      <c r="L26" s="36" t="s">
        <v>112</v>
      </c>
      <c r="M26" s="36">
        <v>4</v>
      </c>
      <c r="N26" s="33" t="s">
        <v>102</v>
      </c>
      <c r="O26" s="33" t="s">
        <v>33</v>
      </c>
      <c r="P26" s="45" t="s">
        <v>103</v>
      </c>
      <c r="Q26" s="38" t="s">
        <v>900</v>
      </c>
      <c r="R26" s="44" t="s">
        <v>37</v>
      </c>
      <c r="S26" s="44" t="s">
        <v>37</v>
      </c>
      <c r="T26" s="44">
        <v>130</v>
      </c>
      <c r="U26" s="44">
        <v>25</v>
      </c>
      <c r="V26" s="44">
        <v>25</v>
      </c>
      <c r="W26" s="33" t="s">
        <v>104</v>
      </c>
      <c r="X26" s="33">
        <v>8.0399999999999991</v>
      </c>
      <c r="Y26" s="46">
        <v>5.8536524151080886</v>
      </c>
      <c r="Z26" s="33">
        <v>13</v>
      </c>
      <c r="AA26" s="33">
        <v>1100</v>
      </c>
      <c r="AB26" s="33">
        <v>1100</v>
      </c>
      <c r="AC26" s="33">
        <v>13</v>
      </c>
      <c r="AD26" s="40">
        <f t="shared" si="0"/>
        <v>33.470889937304023</v>
      </c>
      <c r="AE26" s="40">
        <f t="shared" si="13"/>
        <v>46.20268979170951</v>
      </c>
      <c r="AG26" s="16">
        <f t="shared" si="1"/>
        <v>0.4446312674691093</v>
      </c>
      <c r="AH26" s="26">
        <f t="shared" si="2"/>
        <v>2.2490546058357781</v>
      </c>
      <c r="AJ26" s="85" t="str">
        <f t="shared" si="3"/>
        <v>LC50</v>
      </c>
      <c r="AK26" s="9">
        <f t="shared" si="9"/>
        <v>5</v>
      </c>
      <c r="AL26" s="18">
        <f t="shared" si="4"/>
        <v>9.2405379583419016</v>
      </c>
      <c r="AM26" s="88" t="str">
        <f t="shared" si="5"/>
        <v>Chronic</v>
      </c>
      <c r="AN26" s="9">
        <f t="shared" si="10"/>
        <v>1</v>
      </c>
      <c r="AO26" s="18">
        <f t="shared" si="11"/>
        <v>9.2405379583419016</v>
      </c>
      <c r="AP26" s="16"/>
      <c r="AQ26" s="132" t="str">
        <f t="shared" si="6"/>
        <v>LC50</v>
      </c>
      <c r="AR26" s="67" t="s">
        <v>463</v>
      </c>
      <c r="AS26" s="88" t="str">
        <f t="shared" si="7"/>
        <v>Chronic</v>
      </c>
      <c r="AT26" s="67" t="str">
        <f t="shared" si="14"/>
        <v>y</v>
      </c>
      <c r="AU26" s="76" t="s">
        <v>466</v>
      </c>
      <c r="AV26" s="67"/>
      <c r="AW26" s="70"/>
      <c r="AX26" s="67"/>
      <c r="AY26" s="67"/>
      <c r="AZ26" s="80"/>
      <c r="BA26" s="81"/>
      <c r="BB26" s="78"/>
      <c r="BC26" s="133"/>
      <c r="BF26" s="76" t="s">
        <v>466</v>
      </c>
    </row>
    <row r="27" spans="1:61" ht="15" customHeight="1" x14ac:dyDescent="0.25">
      <c r="A27" s="32" t="s">
        <v>118</v>
      </c>
      <c r="B27" s="33">
        <v>221</v>
      </c>
      <c r="C27" s="34" t="s">
        <v>24</v>
      </c>
      <c r="D27" s="35" t="s">
        <v>98</v>
      </c>
      <c r="E27" s="33" t="s">
        <v>61</v>
      </c>
      <c r="F27" s="33" t="s">
        <v>99</v>
      </c>
      <c r="G27" s="33" t="s">
        <v>93</v>
      </c>
      <c r="H27" s="33" t="s">
        <v>571</v>
      </c>
      <c r="I27" s="36" t="s">
        <v>100</v>
      </c>
      <c r="J27" s="36" t="s">
        <v>109</v>
      </c>
      <c r="K27" s="44" t="s">
        <v>109</v>
      </c>
      <c r="L27" s="36" t="s">
        <v>112</v>
      </c>
      <c r="M27" s="36">
        <v>4</v>
      </c>
      <c r="N27" s="33" t="s">
        <v>102</v>
      </c>
      <c r="O27" s="33" t="s">
        <v>33</v>
      </c>
      <c r="P27" s="38" t="s">
        <v>103</v>
      </c>
      <c r="Q27" s="38" t="s">
        <v>900</v>
      </c>
      <c r="R27" s="44" t="s">
        <v>37</v>
      </c>
      <c r="S27" s="44" t="s">
        <v>37</v>
      </c>
      <c r="T27" s="44">
        <v>130</v>
      </c>
      <c r="U27" s="33">
        <v>25</v>
      </c>
      <c r="V27" s="33">
        <v>25</v>
      </c>
      <c r="W27" s="33" t="s">
        <v>107</v>
      </c>
      <c r="X27" s="33">
        <v>8.43</v>
      </c>
      <c r="Y27" s="46">
        <v>13.241455150071291</v>
      </c>
      <c r="Z27" s="33">
        <v>12</v>
      </c>
      <c r="AA27" s="33">
        <v>1500</v>
      </c>
      <c r="AB27" s="33">
        <v>1500</v>
      </c>
      <c r="AC27" s="33">
        <v>12</v>
      </c>
      <c r="AD27" s="40">
        <f t="shared" si="0"/>
        <v>57.839154755142971</v>
      </c>
      <c r="AE27" s="40">
        <f t="shared" si="13"/>
        <v>79.840259101930556</v>
      </c>
      <c r="AG27" s="16">
        <f t="shared" si="1"/>
        <v>0.18113400926196022</v>
      </c>
      <c r="AH27" s="26">
        <f t="shared" si="2"/>
        <v>5.5207743928075743</v>
      </c>
      <c r="AJ27" s="85" t="str">
        <f t="shared" si="3"/>
        <v>LC50</v>
      </c>
      <c r="AK27" s="9">
        <f t="shared" si="9"/>
        <v>5</v>
      </c>
      <c r="AL27" s="18">
        <f t="shared" si="4"/>
        <v>15.968051820386112</v>
      </c>
      <c r="AM27" s="88" t="str">
        <f t="shared" si="5"/>
        <v>Chronic</v>
      </c>
      <c r="AN27" s="9">
        <f t="shared" si="10"/>
        <v>1</v>
      </c>
      <c r="AO27" s="18">
        <f t="shared" si="11"/>
        <v>15.968051820386112</v>
      </c>
      <c r="AP27" s="16"/>
      <c r="AQ27" s="110" t="str">
        <f t="shared" si="6"/>
        <v>LC50</v>
      </c>
      <c r="AR27" s="111" t="s">
        <v>463</v>
      </c>
      <c r="AS27" s="112" t="str">
        <f t="shared" si="7"/>
        <v>Chronic</v>
      </c>
      <c r="AT27" s="111" t="str">
        <f t="shared" si="14"/>
        <v>y</v>
      </c>
      <c r="AU27" s="113" t="s">
        <v>466</v>
      </c>
      <c r="AV27" s="111"/>
      <c r="AW27" s="114"/>
      <c r="AX27" s="111"/>
      <c r="AY27" s="111"/>
      <c r="AZ27" s="115"/>
      <c r="BA27" s="135"/>
      <c r="BB27" s="136"/>
      <c r="BC27" s="137"/>
      <c r="BF27" s="76" t="s">
        <v>480</v>
      </c>
    </row>
    <row r="28" spans="1:61" ht="15" customHeight="1" x14ac:dyDescent="0.25">
      <c r="A28" s="19" t="s">
        <v>119</v>
      </c>
      <c r="B28" s="9">
        <v>235</v>
      </c>
      <c r="C28" s="10" t="s">
        <v>24</v>
      </c>
      <c r="D28" s="11" t="s">
        <v>120</v>
      </c>
      <c r="E28" s="9" t="s">
        <v>121</v>
      </c>
      <c r="F28" s="9" t="s">
        <v>122</v>
      </c>
      <c r="G28" s="9" t="s">
        <v>52</v>
      </c>
      <c r="H28" s="9" t="s">
        <v>571</v>
      </c>
      <c r="I28" s="12" t="s">
        <v>37</v>
      </c>
      <c r="J28" s="12" t="s">
        <v>123</v>
      </c>
      <c r="K28" s="12" t="s">
        <v>123</v>
      </c>
      <c r="L28" s="12" t="s">
        <v>54</v>
      </c>
      <c r="M28" s="12">
        <v>40</v>
      </c>
      <c r="N28" s="9" t="s">
        <v>55</v>
      </c>
      <c r="O28" s="13" t="s">
        <v>33</v>
      </c>
      <c r="P28" s="14" t="s">
        <v>56</v>
      </c>
      <c r="Q28" s="14" t="s">
        <v>900</v>
      </c>
      <c r="R28" s="9" t="s">
        <v>907</v>
      </c>
      <c r="S28" s="9" t="s">
        <v>37</v>
      </c>
      <c r="T28" s="9" t="s">
        <v>908</v>
      </c>
      <c r="U28" s="9" t="s">
        <v>438</v>
      </c>
      <c r="V28" s="9">
        <v>15.3</v>
      </c>
      <c r="W28" s="9" t="s">
        <v>124</v>
      </c>
      <c r="X28" s="9">
        <v>8.1</v>
      </c>
      <c r="Y28" s="9">
        <v>3.3940000000000001</v>
      </c>
      <c r="Z28" s="18">
        <v>2.1</v>
      </c>
      <c r="AA28" s="9">
        <v>70</v>
      </c>
      <c r="AB28" s="9">
        <v>70</v>
      </c>
      <c r="AC28" s="18">
        <v>2.1</v>
      </c>
      <c r="AD28" s="15">
        <f t="shared" si="0"/>
        <v>5.9178920071141139</v>
      </c>
      <c r="AE28" s="15">
        <f t="shared" si="13"/>
        <v>4.3708614042820138</v>
      </c>
      <c r="AG28" s="16">
        <f t="shared" si="1"/>
        <v>0.38725764492161724</v>
      </c>
      <c r="AH28" s="26">
        <f t="shared" si="2"/>
        <v>2.5822601906345959</v>
      </c>
      <c r="AJ28" s="85" t="str">
        <f t="shared" si="3"/>
        <v>NOEC</v>
      </c>
      <c r="AK28" s="9">
        <f t="shared" si="9"/>
        <v>1</v>
      </c>
      <c r="AL28" s="18">
        <f t="shared" si="4"/>
        <v>4.3708614042820138</v>
      </c>
      <c r="AM28" s="88" t="str">
        <f t="shared" si="5"/>
        <v>Chronic</v>
      </c>
      <c r="AN28" s="9">
        <f t="shared" si="10"/>
        <v>1</v>
      </c>
      <c r="AO28" s="18">
        <f t="shared" si="11"/>
        <v>4.3708614042820138</v>
      </c>
      <c r="AP28" s="16"/>
      <c r="AQ28" s="127" t="str">
        <f t="shared" si="6"/>
        <v>NOEC</v>
      </c>
      <c r="AR28" s="128" t="s">
        <v>356</v>
      </c>
      <c r="AS28" s="129" t="str">
        <f t="shared" si="7"/>
        <v>Chronic</v>
      </c>
      <c r="AT28" s="128" t="str">
        <f t="shared" si="14"/>
        <v>y</v>
      </c>
      <c r="AU28" s="130" t="str">
        <f>K28</f>
        <v>Immobility</v>
      </c>
      <c r="AV28" s="128" t="s">
        <v>459</v>
      </c>
      <c r="AW28" s="131">
        <f>M28</f>
        <v>40</v>
      </c>
      <c r="AX28" s="128" t="s">
        <v>460</v>
      </c>
      <c r="AY28" s="128"/>
      <c r="AZ28" s="143">
        <f>AO28</f>
        <v>4.3708614042820138</v>
      </c>
      <c r="BA28" s="144">
        <f>GEOMEAN(AZ28:AZ28)</f>
        <v>4.3708614042820138</v>
      </c>
      <c r="BB28" s="148">
        <f>MIN(BA28)</f>
        <v>4.3708614042820138</v>
      </c>
      <c r="BC28" s="149">
        <f>MIN(BB28)</f>
        <v>4.3708614042820138</v>
      </c>
      <c r="BF28" s="76" t="s">
        <v>466</v>
      </c>
    </row>
    <row r="29" spans="1:61" ht="15" customHeight="1" x14ac:dyDescent="0.25">
      <c r="A29" s="32" t="s">
        <v>125</v>
      </c>
      <c r="B29" s="33">
        <v>254</v>
      </c>
      <c r="C29" s="34" t="s">
        <v>24</v>
      </c>
      <c r="D29" s="35" t="s">
        <v>126</v>
      </c>
      <c r="E29" s="33" t="s">
        <v>121</v>
      </c>
      <c r="F29" s="33" t="s">
        <v>127</v>
      </c>
      <c r="G29" s="33" t="s">
        <v>52</v>
      </c>
      <c r="H29" s="33" t="s">
        <v>571</v>
      </c>
      <c r="I29" s="36" t="s">
        <v>128</v>
      </c>
      <c r="J29" s="36" t="s">
        <v>53</v>
      </c>
      <c r="K29" s="36" t="s">
        <v>53</v>
      </c>
      <c r="L29" s="36" t="s">
        <v>54</v>
      </c>
      <c r="M29" s="36">
        <v>28</v>
      </c>
      <c r="N29" s="33" t="s">
        <v>55</v>
      </c>
      <c r="O29" s="37" t="s">
        <v>33</v>
      </c>
      <c r="P29" s="38" t="s">
        <v>129</v>
      </c>
      <c r="Q29" s="38" t="s">
        <v>900</v>
      </c>
      <c r="R29" s="33" t="s">
        <v>37</v>
      </c>
      <c r="S29" s="33" t="s">
        <v>37</v>
      </c>
      <c r="T29" s="33" t="s">
        <v>909</v>
      </c>
      <c r="U29" s="33" t="s">
        <v>130</v>
      </c>
      <c r="V29" s="33">
        <v>20</v>
      </c>
      <c r="W29" s="33" t="s">
        <v>131</v>
      </c>
      <c r="X29" s="33">
        <v>8.1999999999999993</v>
      </c>
      <c r="Y29" s="33">
        <v>5.9020000000000001</v>
      </c>
      <c r="Z29" s="33">
        <v>0.44</v>
      </c>
      <c r="AA29" s="33" t="s">
        <v>37</v>
      </c>
      <c r="AB29" s="40">
        <v>26</v>
      </c>
      <c r="AC29" s="33">
        <v>0.44</v>
      </c>
      <c r="AD29" s="40">
        <f t="shared" si="0"/>
        <v>1.4501639193190441</v>
      </c>
      <c r="AE29" s="40">
        <f t="shared" si="13"/>
        <v>1.4501639193190441</v>
      </c>
      <c r="AG29" s="16">
        <f t="shared" si="1"/>
        <v>0.30760968147407108</v>
      </c>
      <c r="AH29" s="26">
        <f t="shared" si="2"/>
        <v>3.2508729738543409</v>
      </c>
      <c r="AJ29" s="85" t="str">
        <f t="shared" si="3"/>
        <v>NOEC</v>
      </c>
      <c r="AK29" s="9">
        <f t="shared" si="9"/>
        <v>1</v>
      </c>
      <c r="AL29" s="18">
        <f t="shared" si="4"/>
        <v>1.4501639193190441</v>
      </c>
      <c r="AM29" s="88" t="str">
        <f t="shared" si="5"/>
        <v>Chronic</v>
      </c>
      <c r="AN29" s="9">
        <f t="shared" si="10"/>
        <v>1</v>
      </c>
      <c r="AO29" s="18">
        <f t="shared" si="11"/>
        <v>1.4501639193190441</v>
      </c>
      <c r="AP29" s="16"/>
      <c r="AQ29" s="101" t="str">
        <f t="shared" si="6"/>
        <v>NOEC</v>
      </c>
      <c r="AR29" s="102" t="s">
        <v>356</v>
      </c>
      <c r="AS29" s="103" t="str">
        <f t="shared" si="7"/>
        <v>Chronic</v>
      </c>
      <c r="AT29" s="102" t="str">
        <f t="shared" si="14"/>
        <v>y</v>
      </c>
      <c r="AU29" s="100" t="s">
        <v>499</v>
      </c>
      <c r="AV29" s="102"/>
      <c r="AW29" s="105"/>
      <c r="AX29" s="102"/>
      <c r="AY29" s="102"/>
      <c r="AZ29" s="106"/>
      <c r="BA29" s="107"/>
      <c r="BB29" s="108"/>
      <c r="BC29" s="109"/>
      <c r="BF29" s="100" t="s">
        <v>481</v>
      </c>
    </row>
    <row r="30" spans="1:61" ht="15" customHeight="1" x14ac:dyDescent="0.25">
      <c r="A30" s="32" t="s">
        <v>132</v>
      </c>
      <c r="B30" s="33">
        <v>254</v>
      </c>
      <c r="C30" s="34" t="s">
        <v>24</v>
      </c>
      <c r="D30" s="35" t="s">
        <v>126</v>
      </c>
      <c r="E30" s="33" t="s">
        <v>121</v>
      </c>
      <c r="F30" s="33" t="s">
        <v>127</v>
      </c>
      <c r="G30" s="33" t="s">
        <v>52</v>
      </c>
      <c r="H30" s="33" t="s">
        <v>571</v>
      </c>
      <c r="I30" s="36" t="s">
        <v>128</v>
      </c>
      <c r="J30" s="36" t="s">
        <v>53</v>
      </c>
      <c r="K30" s="36" t="s">
        <v>53</v>
      </c>
      <c r="L30" s="36" t="s">
        <v>133</v>
      </c>
      <c r="M30" s="36">
        <v>28</v>
      </c>
      <c r="N30" s="33" t="s">
        <v>55</v>
      </c>
      <c r="O30" s="37" t="s">
        <v>33</v>
      </c>
      <c r="P30" s="38" t="s">
        <v>129</v>
      </c>
      <c r="Q30" s="38" t="s">
        <v>900</v>
      </c>
      <c r="R30" s="33" t="s">
        <v>37</v>
      </c>
      <c r="S30" s="33" t="s">
        <v>37</v>
      </c>
      <c r="T30" s="33" t="s">
        <v>909</v>
      </c>
      <c r="U30" s="33" t="s">
        <v>130</v>
      </c>
      <c r="V30" s="33">
        <v>20</v>
      </c>
      <c r="W30" s="33" t="s">
        <v>131</v>
      </c>
      <c r="X30" s="33">
        <v>8.1999999999999993</v>
      </c>
      <c r="Y30" s="33">
        <v>5.9020000000000001</v>
      </c>
      <c r="Z30" s="33" t="s">
        <v>134</v>
      </c>
      <c r="AA30" s="33" t="s">
        <v>37</v>
      </c>
      <c r="AB30" s="33">
        <v>7.67</v>
      </c>
      <c r="AC30" s="33">
        <v>0.13</v>
      </c>
      <c r="AD30" s="40">
        <f t="shared" si="0"/>
        <v>0.4284575216169903</v>
      </c>
      <c r="AE30" s="43">
        <f t="shared" si="13"/>
        <v>0.42845752161699024</v>
      </c>
      <c r="AF30" t="s">
        <v>577</v>
      </c>
      <c r="AG30" s="16">
        <f t="shared" si="1"/>
        <v>0.30760968147407108</v>
      </c>
      <c r="AH30" s="26">
        <f t="shared" si="2"/>
        <v>3.2508729738543409</v>
      </c>
      <c r="AJ30" s="85" t="str">
        <f t="shared" si="3"/>
        <v>IC10</v>
      </c>
      <c r="AK30" s="9">
        <f t="shared" si="9"/>
        <v>1</v>
      </c>
      <c r="AL30" s="18">
        <f t="shared" si="4"/>
        <v>0.42845752161699024</v>
      </c>
      <c r="AM30" s="88" t="str">
        <f t="shared" si="5"/>
        <v>Chronic</v>
      </c>
      <c r="AN30" s="9">
        <f t="shared" si="10"/>
        <v>1</v>
      </c>
      <c r="AO30" s="18">
        <f t="shared" si="11"/>
        <v>0.42845752161699024</v>
      </c>
      <c r="AP30" s="16"/>
      <c r="AQ30" s="132" t="str">
        <f t="shared" si="6"/>
        <v>IC10</v>
      </c>
      <c r="AR30" s="67" t="s">
        <v>356</v>
      </c>
      <c r="AS30" s="88" t="str">
        <f t="shared" si="7"/>
        <v>Chronic</v>
      </c>
      <c r="AT30" s="67" t="str">
        <f t="shared" si="14"/>
        <v>y</v>
      </c>
      <c r="AU30" s="69" t="str">
        <f>K30</f>
        <v>Mortality</v>
      </c>
      <c r="AV30" s="67" t="s">
        <v>459</v>
      </c>
      <c r="AW30" s="70">
        <f>M30</f>
        <v>28</v>
      </c>
      <c r="AX30" s="67" t="s">
        <v>460</v>
      </c>
      <c r="AY30" s="67"/>
      <c r="AZ30" s="151">
        <f>AO30</f>
        <v>0.42845752161699024</v>
      </c>
      <c r="BA30" s="95">
        <f>GEOMEAN(AZ30:AZ30)</f>
        <v>0.42845752161699024</v>
      </c>
      <c r="BB30" s="96">
        <f>MIN(BA30)</f>
        <v>0.42845752161699024</v>
      </c>
      <c r="BC30" s="153">
        <f>MIN(BB30)</f>
        <v>0.42845752161699024</v>
      </c>
      <c r="BF30" s="76" t="s">
        <v>482</v>
      </c>
    </row>
    <row r="31" spans="1:61" ht="15" customHeight="1" x14ac:dyDescent="0.25">
      <c r="A31" s="32" t="s">
        <v>135</v>
      </c>
      <c r="B31" s="33">
        <v>254</v>
      </c>
      <c r="C31" s="34" t="s">
        <v>24</v>
      </c>
      <c r="D31" s="35" t="s">
        <v>126</v>
      </c>
      <c r="E31" s="33" t="s">
        <v>121</v>
      </c>
      <c r="F31" s="33" t="s">
        <v>127</v>
      </c>
      <c r="G31" s="33" t="s">
        <v>52</v>
      </c>
      <c r="H31" s="33" t="s">
        <v>571</v>
      </c>
      <c r="I31" s="36" t="s">
        <v>128</v>
      </c>
      <c r="J31" s="36" t="s">
        <v>136</v>
      </c>
      <c r="K31" s="36" t="s">
        <v>137</v>
      </c>
      <c r="L31" s="36" t="s">
        <v>133</v>
      </c>
      <c r="M31" s="36">
        <v>28</v>
      </c>
      <c r="N31" s="33" t="s">
        <v>55</v>
      </c>
      <c r="O31" s="37" t="s">
        <v>33</v>
      </c>
      <c r="P31" s="38" t="s">
        <v>129</v>
      </c>
      <c r="Q31" s="38" t="s">
        <v>900</v>
      </c>
      <c r="R31" s="33" t="s">
        <v>37</v>
      </c>
      <c r="S31" s="33" t="s">
        <v>37</v>
      </c>
      <c r="T31" s="33" t="s">
        <v>909</v>
      </c>
      <c r="U31" s="33" t="s">
        <v>130</v>
      </c>
      <c r="V31" s="33">
        <v>20</v>
      </c>
      <c r="W31" s="33" t="s">
        <v>131</v>
      </c>
      <c r="X31" s="33">
        <v>8.1999999999999993</v>
      </c>
      <c r="Y31" s="33">
        <v>5.9020000000000001</v>
      </c>
      <c r="Z31" s="33">
        <v>0.48</v>
      </c>
      <c r="AA31" s="33" t="s">
        <v>37</v>
      </c>
      <c r="AB31" s="40">
        <v>28.33</v>
      </c>
      <c r="AC31" s="33">
        <v>0.48</v>
      </c>
      <c r="AD31" s="40">
        <f t="shared" si="0"/>
        <v>1.5819970028935024</v>
      </c>
      <c r="AE31" s="40">
        <f t="shared" si="13"/>
        <v>1.5819970028935024</v>
      </c>
      <c r="AG31" s="16">
        <f t="shared" si="1"/>
        <v>0.30760968147407108</v>
      </c>
      <c r="AH31" s="26">
        <f t="shared" si="2"/>
        <v>3.2508729738543409</v>
      </c>
      <c r="AJ31" s="85" t="str">
        <f t="shared" si="3"/>
        <v>IC10</v>
      </c>
      <c r="AK31" s="9">
        <f t="shared" si="9"/>
        <v>1</v>
      </c>
      <c r="AL31" s="18">
        <f t="shared" si="4"/>
        <v>1.5819970028935024</v>
      </c>
      <c r="AM31" s="88" t="str">
        <f t="shared" si="5"/>
        <v>Chronic</v>
      </c>
      <c r="AN31" s="9">
        <f t="shared" si="10"/>
        <v>1</v>
      </c>
      <c r="AO31" s="18">
        <f t="shared" si="11"/>
        <v>1.5819970028935024</v>
      </c>
      <c r="AP31" s="16"/>
      <c r="AQ31" s="132" t="str">
        <f t="shared" si="6"/>
        <v>IC10</v>
      </c>
      <c r="AR31" s="67" t="s">
        <v>356</v>
      </c>
      <c r="AS31" s="88" t="str">
        <f t="shared" si="7"/>
        <v>Chronic</v>
      </c>
      <c r="AT31" s="67" t="str">
        <f t="shared" si="14"/>
        <v>y</v>
      </c>
      <c r="AU31" s="76" t="s">
        <v>576</v>
      </c>
      <c r="AV31" s="67"/>
      <c r="AW31" s="70"/>
      <c r="AX31" s="67"/>
      <c r="AY31" s="67"/>
      <c r="AZ31" s="151"/>
      <c r="BA31" s="95"/>
      <c r="BB31" s="96"/>
      <c r="BC31" s="150"/>
      <c r="BF31" s="76" t="s">
        <v>483</v>
      </c>
    </row>
    <row r="32" spans="1:61" ht="15" customHeight="1" x14ac:dyDescent="0.25">
      <c r="A32" s="19" t="s">
        <v>138</v>
      </c>
      <c r="B32" s="9">
        <v>253</v>
      </c>
      <c r="C32" s="10" t="s">
        <v>24</v>
      </c>
      <c r="D32" s="11" t="s">
        <v>139</v>
      </c>
      <c r="E32" s="9" t="s">
        <v>121</v>
      </c>
      <c r="F32" s="9" t="s">
        <v>127</v>
      </c>
      <c r="G32" s="9" t="s">
        <v>52</v>
      </c>
      <c r="H32" s="9" t="s">
        <v>571</v>
      </c>
      <c r="I32" s="12" t="s">
        <v>140</v>
      </c>
      <c r="J32" s="12" t="s">
        <v>53</v>
      </c>
      <c r="K32" s="12" t="s">
        <v>53</v>
      </c>
      <c r="L32" s="12" t="s">
        <v>54</v>
      </c>
      <c r="M32" s="12">
        <v>28</v>
      </c>
      <c r="N32" s="9" t="s">
        <v>55</v>
      </c>
      <c r="O32" s="13" t="s">
        <v>33</v>
      </c>
      <c r="P32" s="14" t="s">
        <v>141</v>
      </c>
      <c r="Q32" s="14" t="s">
        <v>910</v>
      </c>
      <c r="R32" s="9" t="s">
        <v>912</v>
      </c>
      <c r="S32" s="9" t="s">
        <v>37</v>
      </c>
      <c r="T32" s="9" t="s">
        <v>911</v>
      </c>
      <c r="U32" s="9">
        <v>20</v>
      </c>
      <c r="V32" s="9">
        <v>20</v>
      </c>
      <c r="W32" s="9" t="s">
        <v>142</v>
      </c>
      <c r="X32" s="9">
        <v>8.26</v>
      </c>
      <c r="Y32" s="9">
        <v>6.718</v>
      </c>
      <c r="Z32" s="9">
        <v>0.25</v>
      </c>
      <c r="AA32" s="9" t="s">
        <v>37</v>
      </c>
      <c r="AB32" s="9">
        <v>16.8</v>
      </c>
      <c r="AC32" s="9">
        <v>0.25</v>
      </c>
      <c r="AD32" s="15">
        <f t="shared" si="0"/>
        <v>0.90788711828011337</v>
      </c>
      <c r="AE32" s="15">
        <f t="shared" si="13"/>
        <v>0.90788711828011337</v>
      </c>
      <c r="AG32" s="16">
        <f t="shared" si="1"/>
        <v>0.26791683248190312</v>
      </c>
      <c r="AH32" s="26">
        <f t="shared" si="2"/>
        <v>3.7325015779572066</v>
      </c>
      <c r="AJ32" s="85" t="str">
        <f t="shared" si="3"/>
        <v>NOEC</v>
      </c>
      <c r="AK32" s="9">
        <f t="shared" si="9"/>
        <v>1</v>
      </c>
      <c r="AL32" s="18">
        <f t="shared" si="4"/>
        <v>0.90788711828011337</v>
      </c>
      <c r="AM32" s="88" t="str">
        <f t="shared" si="5"/>
        <v>Chronic</v>
      </c>
      <c r="AN32" s="9">
        <f t="shared" si="10"/>
        <v>1</v>
      </c>
      <c r="AO32" s="18">
        <f t="shared" si="11"/>
        <v>0.90788711828011337</v>
      </c>
      <c r="AP32" s="16"/>
      <c r="AQ32" s="101" t="str">
        <f t="shared" si="6"/>
        <v>NOEC</v>
      </c>
      <c r="AR32" s="102" t="s">
        <v>356</v>
      </c>
      <c r="AS32" s="103" t="str">
        <f t="shared" si="7"/>
        <v>Chronic</v>
      </c>
      <c r="AT32" s="102" t="str">
        <f t="shared" si="14"/>
        <v>y</v>
      </c>
      <c r="AU32" s="139" t="s">
        <v>464</v>
      </c>
      <c r="AV32" s="102"/>
      <c r="AW32" s="105"/>
      <c r="AX32" s="102"/>
      <c r="AY32" s="102"/>
      <c r="AZ32" s="147"/>
      <c r="BA32" s="118"/>
      <c r="BB32" s="119"/>
      <c r="BC32" s="126"/>
      <c r="BF32" s="76" t="s">
        <v>484</v>
      </c>
    </row>
    <row r="33" spans="1:95" ht="15" customHeight="1" x14ac:dyDescent="0.25">
      <c r="A33" s="19" t="s">
        <v>143</v>
      </c>
      <c r="B33" s="9">
        <v>253</v>
      </c>
      <c r="C33" s="10" t="s">
        <v>24</v>
      </c>
      <c r="D33" s="11" t="s">
        <v>139</v>
      </c>
      <c r="E33" s="9" t="s">
        <v>121</v>
      </c>
      <c r="F33" s="9" t="s">
        <v>127</v>
      </c>
      <c r="G33" s="9" t="s">
        <v>52</v>
      </c>
      <c r="H33" s="9" t="s">
        <v>571</v>
      </c>
      <c r="I33" s="12" t="s">
        <v>140</v>
      </c>
      <c r="J33" s="12" t="s">
        <v>53</v>
      </c>
      <c r="K33" s="12" t="s">
        <v>53</v>
      </c>
      <c r="L33" s="12" t="s">
        <v>67</v>
      </c>
      <c r="M33" s="12">
        <v>28</v>
      </c>
      <c r="N33" s="9" t="s">
        <v>55</v>
      </c>
      <c r="O33" s="13" t="s">
        <v>33</v>
      </c>
      <c r="P33" s="14" t="s">
        <v>141</v>
      </c>
      <c r="Q33" s="14" t="s">
        <v>910</v>
      </c>
      <c r="R33" s="9" t="s">
        <v>912</v>
      </c>
      <c r="S33" s="9" t="s">
        <v>37</v>
      </c>
      <c r="T33" s="9" t="s">
        <v>911</v>
      </c>
      <c r="U33" s="9">
        <v>20</v>
      </c>
      <c r="V33" s="9">
        <v>20</v>
      </c>
      <c r="W33" s="9" t="s">
        <v>142</v>
      </c>
      <c r="X33" s="9">
        <v>8.26</v>
      </c>
      <c r="Y33" s="9">
        <v>6.718</v>
      </c>
      <c r="Z33" s="9">
        <v>0.53</v>
      </c>
      <c r="AA33" s="9" t="s">
        <v>37</v>
      </c>
      <c r="AB33" s="9">
        <v>35.6</v>
      </c>
      <c r="AC33" s="9">
        <v>0.53</v>
      </c>
      <c r="AD33" s="15">
        <f t="shared" si="0"/>
        <v>1.9247206907538406</v>
      </c>
      <c r="AE33" s="18">
        <f t="shared" si="13"/>
        <v>1.9247206907538406</v>
      </c>
      <c r="AG33" s="16">
        <f t="shared" si="1"/>
        <v>0.26791683248190312</v>
      </c>
      <c r="AH33" s="26">
        <f t="shared" si="2"/>
        <v>3.7325015779572066</v>
      </c>
      <c r="AJ33" s="85" t="str">
        <f t="shared" si="3"/>
        <v>LOEC</v>
      </c>
      <c r="AK33" s="9">
        <f t="shared" si="9"/>
        <v>2.5</v>
      </c>
      <c r="AL33" s="18">
        <f t="shared" si="4"/>
        <v>0.76988827630153622</v>
      </c>
      <c r="AM33" s="88" t="str">
        <f t="shared" si="5"/>
        <v>Chronic</v>
      </c>
      <c r="AN33" s="9">
        <f t="shared" si="10"/>
        <v>1</v>
      </c>
      <c r="AO33" s="18">
        <f t="shared" si="11"/>
        <v>0.76988827630153622</v>
      </c>
      <c r="AP33" s="16"/>
      <c r="AQ33" s="132" t="str">
        <f t="shared" si="6"/>
        <v>LOEC</v>
      </c>
      <c r="AR33" s="67" t="s">
        <v>463</v>
      </c>
      <c r="AS33" s="88" t="str">
        <f t="shared" si="7"/>
        <v>Chronic</v>
      </c>
      <c r="AT33" s="67" t="str">
        <f t="shared" si="14"/>
        <v>y</v>
      </c>
      <c r="AU33" s="76" t="s">
        <v>464</v>
      </c>
      <c r="AV33" s="67"/>
      <c r="AW33" s="70"/>
      <c r="AX33" s="67"/>
      <c r="AY33" s="67"/>
      <c r="AZ33" s="82"/>
      <c r="BA33" s="72"/>
      <c r="BB33" s="73"/>
      <c r="BC33" s="150"/>
      <c r="BF33" s="76" t="s">
        <v>485</v>
      </c>
    </row>
    <row r="34" spans="1:95" ht="15" customHeight="1" x14ac:dyDescent="0.25">
      <c r="A34" s="19" t="s">
        <v>144</v>
      </c>
      <c r="B34" s="9">
        <v>253</v>
      </c>
      <c r="C34" s="10" t="s">
        <v>24</v>
      </c>
      <c r="D34" s="11" t="s">
        <v>139</v>
      </c>
      <c r="E34" s="9" t="s">
        <v>121</v>
      </c>
      <c r="F34" s="9" t="s">
        <v>127</v>
      </c>
      <c r="G34" s="9" t="s">
        <v>52</v>
      </c>
      <c r="H34" s="9" t="s">
        <v>571</v>
      </c>
      <c r="I34" s="12" t="s">
        <v>140</v>
      </c>
      <c r="J34" s="12" t="s">
        <v>53</v>
      </c>
      <c r="K34" s="12" t="s">
        <v>53</v>
      </c>
      <c r="L34" s="12" t="s">
        <v>31</v>
      </c>
      <c r="M34" s="12">
        <v>28</v>
      </c>
      <c r="N34" s="9" t="s">
        <v>55</v>
      </c>
      <c r="O34" s="13" t="s">
        <v>33</v>
      </c>
      <c r="P34" s="14" t="s">
        <v>141</v>
      </c>
      <c r="Q34" s="14" t="s">
        <v>910</v>
      </c>
      <c r="R34" s="9" t="s">
        <v>912</v>
      </c>
      <c r="S34" s="9" t="s">
        <v>37</v>
      </c>
      <c r="T34" s="9" t="s">
        <v>911</v>
      </c>
      <c r="U34" s="9">
        <v>20</v>
      </c>
      <c r="V34" s="9">
        <v>20</v>
      </c>
      <c r="W34" s="9" t="s">
        <v>142</v>
      </c>
      <c r="X34" s="9">
        <v>8.26</v>
      </c>
      <c r="Y34" s="9">
        <v>6.718</v>
      </c>
      <c r="Z34" s="9">
        <v>0.54</v>
      </c>
      <c r="AA34" s="9" t="s">
        <v>37</v>
      </c>
      <c r="AB34" s="9">
        <v>36.299999999999997</v>
      </c>
      <c r="AC34" s="9">
        <v>0.54</v>
      </c>
      <c r="AD34" s="15">
        <f t="shared" si="0"/>
        <v>1.9610361754850452</v>
      </c>
      <c r="AE34" s="15">
        <f t="shared" si="13"/>
        <v>1.9610361754850452</v>
      </c>
      <c r="AG34" s="16">
        <f t="shared" si="1"/>
        <v>0.26791683248190312</v>
      </c>
      <c r="AH34" s="26">
        <f t="shared" si="2"/>
        <v>3.7325015779572066</v>
      </c>
      <c r="AJ34" s="85" t="str">
        <f t="shared" si="3"/>
        <v>EC10</v>
      </c>
      <c r="AK34" s="9">
        <f t="shared" si="9"/>
        <v>1</v>
      </c>
      <c r="AL34" s="18">
        <f t="shared" si="4"/>
        <v>1.9610361754850452</v>
      </c>
      <c r="AM34" s="88" t="str">
        <f t="shared" si="5"/>
        <v>Chronic</v>
      </c>
      <c r="AN34" s="9">
        <f t="shared" si="10"/>
        <v>1</v>
      </c>
      <c r="AO34" s="18">
        <f t="shared" si="11"/>
        <v>1.9610361754850452</v>
      </c>
      <c r="AQ34" s="132" t="str">
        <f t="shared" si="6"/>
        <v>EC10</v>
      </c>
      <c r="AR34" s="67" t="s">
        <v>356</v>
      </c>
      <c r="AS34" s="88" t="str">
        <f t="shared" si="7"/>
        <v>Chronic</v>
      </c>
      <c r="AT34" s="67" t="str">
        <f t="shared" si="14"/>
        <v>y</v>
      </c>
      <c r="AU34" s="69" t="str">
        <f>K34</f>
        <v>Mortality</v>
      </c>
      <c r="AV34" s="87" t="s">
        <v>459</v>
      </c>
      <c r="AW34" s="70">
        <f>M34</f>
        <v>28</v>
      </c>
      <c r="AX34" s="9" t="s">
        <v>460</v>
      </c>
      <c r="AZ34" s="151">
        <f t="shared" ref="AZ34" si="21">AO34</f>
        <v>1.9610361754850452</v>
      </c>
      <c r="BA34" s="95"/>
      <c r="BC34" s="145"/>
      <c r="BF34" s="76" t="s">
        <v>486</v>
      </c>
    </row>
    <row r="35" spans="1:95" ht="15" customHeight="1" x14ac:dyDescent="0.25">
      <c r="A35" s="19" t="s">
        <v>145</v>
      </c>
      <c r="B35" s="9">
        <v>254</v>
      </c>
      <c r="C35" s="10" t="s">
        <v>24</v>
      </c>
      <c r="D35" s="11" t="s">
        <v>139</v>
      </c>
      <c r="E35" s="9" t="s">
        <v>121</v>
      </c>
      <c r="F35" s="9" t="s">
        <v>127</v>
      </c>
      <c r="G35" s="9" t="s">
        <v>52</v>
      </c>
      <c r="H35" s="9" t="s">
        <v>571</v>
      </c>
      <c r="I35" s="12" t="s">
        <v>140</v>
      </c>
      <c r="J35" s="12" t="s">
        <v>53</v>
      </c>
      <c r="K35" s="12" t="s">
        <v>53</v>
      </c>
      <c r="L35" s="12" t="s">
        <v>54</v>
      </c>
      <c r="M35" s="12">
        <v>28</v>
      </c>
      <c r="N35" s="9" t="s">
        <v>55</v>
      </c>
      <c r="O35" s="13" t="s">
        <v>33</v>
      </c>
      <c r="P35" s="14" t="s">
        <v>129</v>
      </c>
      <c r="Q35" s="14" t="s">
        <v>900</v>
      </c>
      <c r="R35" s="9" t="s">
        <v>37</v>
      </c>
      <c r="S35" s="9" t="s">
        <v>37</v>
      </c>
      <c r="T35" s="9" t="s">
        <v>909</v>
      </c>
      <c r="U35" s="9" t="s">
        <v>130</v>
      </c>
      <c r="V35" s="9">
        <v>20</v>
      </c>
      <c r="W35" s="9" t="s">
        <v>131</v>
      </c>
      <c r="X35" s="9">
        <v>8.1999999999999993</v>
      </c>
      <c r="Y35" s="9">
        <v>5.9020000000000001</v>
      </c>
      <c r="Z35" s="9">
        <v>0.28000000000000003</v>
      </c>
      <c r="AA35" s="9" t="s">
        <v>37</v>
      </c>
      <c r="AB35" s="9">
        <v>16.5</v>
      </c>
      <c r="AC35" s="9">
        <v>0.28000000000000003</v>
      </c>
      <c r="AD35" s="15">
        <f t="shared" si="0"/>
        <v>0.92283158502120988</v>
      </c>
      <c r="AE35" s="15">
        <f t="shared" si="13"/>
        <v>0.92283158502120999</v>
      </c>
      <c r="AG35" s="16">
        <f t="shared" si="1"/>
        <v>0.30760968147407108</v>
      </c>
      <c r="AH35" s="26">
        <f t="shared" si="2"/>
        <v>3.2508729738543409</v>
      </c>
      <c r="AJ35" s="85" t="str">
        <f t="shared" si="3"/>
        <v>NOEC</v>
      </c>
      <c r="AK35" s="9">
        <f t="shared" si="9"/>
        <v>1</v>
      </c>
      <c r="AL35" s="18">
        <f t="shared" si="4"/>
        <v>0.92283158502120999</v>
      </c>
      <c r="AM35" s="88" t="str">
        <f t="shared" si="5"/>
        <v>Chronic</v>
      </c>
      <c r="AN35" s="9">
        <f t="shared" si="10"/>
        <v>1</v>
      </c>
      <c r="AO35" s="18">
        <f t="shared" si="11"/>
        <v>0.92283158502120999</v>
      </c>
      <c r="AP35" s="16"/>
      <c r="AQ35" s="132" t="str">
        <f t="shared" si="6"/>
        <v>NOEC</v>
      </c>
      <c r="AR35" s="67" t="s">
        <v>356</v>
      </c>
      <c r="AS35" s="88" t="str">
        <f t="shared" si="7"/>
        <v>Chronic</v>
      </c>
      <c r="AT35" s="67" t="str">
        <f t="shared" si="14"/>
        <v>y</v>
      </c>
      <c r="AU35" s="76" t="s">
        <v>464</v>
      </c>
      <c r="AV35" s="67"/>
      <c r="AW35" s="70"/>
      <c r="AX35" s="67"/>
      <c r="AY35" s="67"/>
      <c r="AZ35" s="151"/>
      <c r="BA35" s="81"/>
      <c r="BB35" s="78"/>
      <c r="BC35" s="133"/>
      <c r="BF35" s="76" t="s">
        <v>487</v>
      </c>
    </row>
    <row r="36" spans="1:95" ht="15" customHeight="1" x14ac:dyDescent="0.25">
      <c r="A36" s="19" t="s">
        <v>146</v>
      </c>
      <c r="B36" s="9">
        <v>254</v>
      </c>
      <c r="C36" s="10" t="s">
        <v>24</v>
      </c>
      <c r="D36" s="11" t="s">
        <v>139</v>
      </c>
      <c r="E36" s="9" t="s">
        <v>121</v>
      </c>
      <c r="F36" s="9" t="s">
        <v>127</v>
      </c>
      <c r="G36" s="9" t="s">
        <v>52</v>
      </c>
      <c r="H36" s="9" t="s">
        <v>571</v>
      </c>
      <c r="I36" s="12" t="s">
        <v>140</v>
      </c>
      <c r="J36" s="12" t="s">
        <v>53</v>
      </c>
      <c r="K36" s="12" t="s">
        <v>53</v>
      </c>
      <c r="L36" s="12" t="s">
        <v>133</v>
      </c>
      <c r="M36" s="12">
        <v>28</v>
      </c>
      <c r="N36" s="9" t="s">
        <v>55</v>
      </c>
      <c r="O36" s="13" t="s">
        <v>33</v>
      </c>
      <c r="P36" s="14" t="s">
        <v>129</v>
      </c>
      <c r="Q36" s="14" t="s">
        <v>900</v>
      </c>
      <c r="R36" s="9" t="s">
        <v>37</v>
      </c>
      <c r="S36" s="9" t="s">
        <v>37</v>
      </c>
      <c r="T36" s="9" t="s">
        <v>909</v>
      </c>
      <c r="U36" s="9" t="s">
        <v>130</v>
      </c>
      <c r="V36" s="9">
        <v>20</v>
      </c>
      <c r="W36" s="9" t="s">
        <v>131</v>
      </c>
      <c r="X36" s="9">
        <v>8.1999999999999993</v>
      </c>
      <c r="Y36" s="9">
        <v>5.9020000000000001</v>
      </c>
      <c r="Z36" s="9" t="s">
        <v>134</v>
      </c>
      <c r="AA36" s="9" t="s">
        <v>37</v>
      </c>
      <c r="AB36" s="9">
        <v>7.67</v>
      </c>
      <c r="AC36" s="9">
        <v>0.13</v>
      </c>
      <c r="AD36" s="15">
        <f t="shared" si="0"/>
        <v>0.4284575216169903</v>
      </c>
      <c r="AE36" s="18">
        <f t="shared" si="13"/>
        <v>0.42845752161699024</v>
      </c>
      <c r="AF36" t="s">
        <v>577</v>
      </c>
      <c r="AG36" s="16">
        <f t="shared" si="1"/>
        <v>0.30760968147407108</v>
      </c>
      <c r="AH36" s="26">
        <f t="shared" si="2"/>
        <v>3.2508729738543409</v>
      </c>
      <c r="AJ36" s="85" t="str">
        <f t="shared" si="3"/>
        <v>IC10</v>
      </c>
      <c r="AK36" s="9">
        <f t="shared" si="9"/>
        <v>1</v>
      </c>
      <c r="AL36" s="18">
        <f t="shared" si="4"/>
        <v>0.42845752161699024</v>
      </c>
      <c r="AM36" s="88" t="str">
        <f t="shared" si="5"/>
        <v>Chronic</v>
      </c>
      <c r="AN36" s="9">
        <f t="shared" si="10"/>
        <v>1</v>
      </c>
      <c r="AO36" s="18">
        <f t="shared" si="11"/>
        <v>0.42845752161699024</v>
      </c>
      <c r="AP36" s="16"/>
      <c r="AQ36" s="132" t="str">
        <f t="shared" si="6"/>
        <v>IC10</v>
      </c>
      <c r="AR36" s="67" t="s">
        <v>356</v>
      </c>
      <c r="AS36" s="88" t="str">
        <f t="shared" si="7"/>
        <v>Chronic</v>
      </c>
      <c r="AT36" s="67" t="str">
        <f t="shared" si="14"/>
        <v>y</v>
      </c>
      <c r="AU36" s="69" t="str">
        <f>K36</f>
        <v>Mortality</v>
      </c>
      <c r="AV36" s="9" t="s">
        <v>459</v>
      </c>
      <c r="AW36" s="70">
        <f>M36</f>
        <v>28</v>
      </c>
      <c r="AX36" s="9" t="s">
        <v>460</v>
      </c>
      <c r="AY36" s="16"/>
      <c r="AZ36" s="151">
        <f t="shared" ref="AZ36:AZ40" si="22">AO36</f>
        <v>0.42845752161699024</v>
      </c>
      <c r="BA36" s="95">
        <f>GEOMEAN(AZ34:AZ36)</f>
        <v>0.91663553255892471</v>
      </c>
      <c r="BB36" s="96">
        <f>MIN(BA36)</f>
        <v>0.91663553255892471</v>
      </c>
      <c r="BC36" s="153">
        <f>MIN(BB36:BB37)</f>
        <v>0.91663553255892471</v>
      </c>
      <c r="BF36" s="76" t="s">
        <v>488</v>
      </c>
    </row>
    <row r="37" spans="1:95" ht="15" customHeight="1" x14ac:dyDescent="0.25">
      <c r="A37" s="19" t="s">
        <v>147</v>
      </c>
      <c r="B37" s="9">
        <v>254</v>
      </c>
      <c r="C37" s="10" t="s">
        <v>24</v>
      </c>
      <c r="D37" s="11" t="s">
        <v>139</v>
      </c>
      <c r="E37" s="9" t="s">
        <v>121</v>
      </c>
      <c r="F37" s="9" t="s">
        <v>127</v>
      </c>
      <c r="G37" s="9" t="s">
        <v>52</v>
      </c>
      <c r="H37" s="9" t="s">
        <v>571</v>
      </c>
      <c r="I37" s="12" t="s">
        <v>140</v>
      </c>
      <c r="J37" s="12" t="s">
        <v>136</v>
      </c>
      <c r="K37" s="12" t="s">
        <v>137</v>
      </c>
      <c r="L37" s="12" t="s">
        <v>133</v>
      </c>
      <c r="M37" s="12">
        <v>28</v>
      </c>
      <c r="N37" s="9" t="s">
        <v>55</v>
      </c>
      <c r="O37" s="13" t="s">
        <v>33</v>
      </c>
      <c r="P37" s="14" t="s">
        <v>129</v>
      </c>
      <c r="Q37" s="14" t="s">
        <v>900</v>
      </c>
      <c r="R37" s="9" t="s">
        <v>37</v>
      </c>
      <c r="S37" s="9" t="s">
        <v>37</v>
      </c>
      <c r="T37" s="9" t="s">
        <v>909</v>
      </c>
      <c r="U37" s="9" t="s">
        <v>130</v>
      </c>
      <c r="V37" s="9">
        <v>20</v>
      </c>
      <c r="W37" s="9" t="s">
        <v>131</v>
      </c>
      <c r="X37" s="9">
        <v>8.1999999999999993</v>
      </c>
      <c r="Y37" s="9">
        <v>5.9020000000000001</v>
      </c>
      <c r="Z37" s="9">
        <v>0.32</v>
      </c>
      <c r="AA37" s="9" t="s">
        <v>37</v>
      </c>
      <c r="AB37" s="15">
        <v>18.89</v>
      </c>
      <c r="AC37" s="9">
        <v>0.32</v>
      </c>
      <c r="AD37" s="15">
        <f t="shared" ref="AD37:AD68" si="23">AC37/((0.0278/(1+AG37))+(1.1994/(1+AH37)))</f>
        <v>1.0546646685956684</v>
      </c>
      <c r="AE37" s="15">
        <f t="shared" si="13"/>
        <v>1.0546646685956684</v>
      </c>
      <c r="AG37" s="16">
        <f t="shared" ref="AG37:AG68" si="24">POWER(10,7.688-X37)</f>
        <v>0.30760968147407108</v>
      </c>
      <c r="AH37" s="26">
        <f t="shared" ref="AH37:AH68" si="25">POWER(10,X37-7.688)</f>
        <v>3.2508729738543409</v>
      </c>
      <c r="AJ37" s="85" t="str">
        <f t="shared" ref="AJ37:AJ68" si="26">L37</f>
        <v>IC10</v>
      </c>
      <c r="AK37" s="9">
        <f t="shared" si="9"/>
        <v>1</v>
      </c>
      <c r="AL37" s="18">
        <f t="shared" ref="AL37:AL68" si="27">AE37/AK37</f>
        <v>1.0546646685956684</v>
      </c>
      <c r="AM37" s="88" t="str">
        <f t="shared" ref="AM37:AM68" si="28">O37</f>
        <v>Chronic</v>
      </c>
      <c r="AN37" s="9">
        <f t="shared" si="10"/>
        <v>1</v>
      </c>
      <c r="AO37" s="18">
        <f t="shared" si="11"/>
        <v>1.0546646685956684</v>
      </c>
      <c r="AP37" s="16"/>
      <c r="AQ37" s="132" t="str">
        <f t="shared" ref="AQ37:AQ68" si="29">L37</f>
        <v>IC10</v>
      </c>
      <c r="AR37" s="67" t="s">
        <v>356</v>
      </c>
      <c r="AS37" s="88" t="str">
        <f t="shared" ref="AS37:AS68" si="30">O37</f>
        <v>Chronic</v>
      </c>
      <c r="AT37" s="67" t="str">
        <f t="shared" si="14"/>
        <v>y</v>
      </c>
      <c r="AU37" s="76" t="s">
        <v>576</v>
      </c>
      <c r="AV37" s="67"/>
      <c r="AW37" s="70"/>
      <c r="AX37" s="67"/>
      <c r="AY37" s="67"/>
      <c r="AZ37" s="151"/>
      <c r="BA37" s="95"/>
      <c r="BB37" s="96"/>
      <c r="BC37" s="150"/>
      <c r="BF37" s="76" t="s">
        <v>489</v>
      </c>
    </row>
    <row r="38" spans="1:95" s="16" customFormat="1" ht="15" customHeight="1" x14ac:dyDescent="0.25">
      <c r="A38" s="32" t="s">
        <v>148</v>
      </c>
      <c r="B38" s="33">
        <v>256</v>
      </c>
      <c r="C38" s="38" t="s">
        <v>24</v>
      </c>
      <c r="D38" s="35" t="s">
        <v>149</v>
      </c>
      <c r="E38" s="33" t="s">
        <v>121</v>
      </c>
      <c r="F38" s="33" t="s">
        <v>127</v>
      </c>
      <c r="G38" s="33" t="s">
        <v>52</v>
      </c>
      <c r="H38" s="33" t="s">
        <v>571</v>
      </c>
      <c r="I38" s="33" t="s">
        <v>37</v>
      </c>
      <c r="J38" s="36" t="s">
        <v>53</v>
      </c>
      <c r="K38" s="36" t="s">
        <v>53</v>
      </c>
      <c r="L38" s="36" t="s">
        <v>54</v>
      </c>
      <c r="M38" s="36">
        <v>6</v>
      </c>
      <c r="N38" s="33" t="s">
        <v>102</v>
      </c>
      <c r="O38" s="37" t="s">
        <v>33</v>
      </c>
      <c r="P38" s="38" t="s">
        <v>150</v>
      </c>
      <c r="Q38" s="38" t="s">
        <v>900</v>
      </c>
      <c r="R38" s="33" t="s">
        <v>37</v>
      </c>
      <c r="S38" s="33" t="s">
        <v>37</v>
      </c>
      <c r="T38" s="38" t="s">
        <v>914</v>
      </c>
      <c r="U38" s="33" t="s">
        <v>151</v>
      </c>
      <c r="V38" s="33">
        <v>21.8</v>
      </c>
      <c r="W38" s="33" t="s">
        <v>152</v>
      </c>
      <c r="X38" s="33">
        <v>7.8</v>
      </c>
      <c r="Y38" s="33">
        <v>2.7679999999999998</v>
      </c>
      <c r="Z38" s="33" t="s">
        <v>37</v>
      </c>
      <c r="AA38" s="33">
        <v>30</v>
      </c>
      <c r="AB38" s="33">
        <v>30</v>
      </c>
      <c r="AC38" s="40">
        <f t="shared" ref="AC38:AC39" si="31">AB38/((Y38/100)*1000)</f>
        <v>1.0838150289017343</v>
      </c>
      <c r="AD38" s="40">
        <f t="shared" si="23"/>
        <v>2.0127302212112239</v>
      </c>
      <c r="AE38" s="40">
        <f t="shared" si="13"/>
        <v>2.2604013998981496</v>
      </c>
      <c r="AG38" s="16">
        <f t="shared" si="24"/>
        <v>0.77268058509570214</v>
      </c>
      <c r="AH38" s="26">
        <f t="shared" si="25"/>
        <v>1.2941958414499863</v>
      </c>
      <c r="AJ38" s="85" t="str">
        <f t="shared" si="26"/>
        <v>NOEC</v>
      </c>
      <c r="AK38" s="9">
        <f t="shared" si="9"/>
        <v>1</v>
      </c>
      <c r="AL38" s="18">
        <f t="shared" si="27"/>
        <v>2.2604013998981496</v>
      </c>
      <c r="AM38" s="88" t="str">
        <f t="shared" si="28"/>
        <v>Chronic</v>
      </c>
      <c r="AN38" s="9">
        <f t="shared" si="10"/>
        <v>1</v>
      </c>
      <c r="AO38" s="18">
        <f t="shared" si="11"/>
        <v>2.2604013998981496</v>
      </c>
      <c r="AQ38" s="101" t="str">
        <f t="shared" si="29"/>
        <v>NOEC</v>
      </c>
      <c r="AR38" s="102" t="s">
        <v>356</v>
      </c>
      <c r="AS38" s="103" t="str">
        <f t="shared" si="30"/>
        <v>Chronic</v>
      </c>
      <c r="AT38" s="102" t="str">
        <f t="shared" si="14"/>
        <v>y</v>
      </c>
      <c r="AU38" s="104" t="str">
        <f>K38</f>
        <v>Mortality</v>
      </c>
      <c r="AV38" s="102" t="s">
        <v>459</v>
      </c>
      <c r="AW38" s="105">
        <f>M38</f>
        <v>6</v>
      </c>
      <c r="AX38" s="102" t="s">
        <v>460</v>
      </c>
      <c r="AY38" s="102"/>
      <c r="AZ38" s="154">
        <f t="shared" si="22"/>
        <v>2.2604013998981496</v>
      </c>
      <c r="BA38" s="155">
        <f>GEOMEAN(AZ38)</f>
        <v>2.2604013998981496</v>
      </c>
      <c r="BB38" s="156">
        <f>MIN(BA38:BA39)</f>
        <v>2.2604013998981496</v>
      </c>
      <c r="BC38" s="126">
        <f>MIN(BB38)</f>
        <v>2.2604013998981496</v>
      </c>
      <c r="BD38"/>
      <c r="BE38"/>
      <c r="BF38" s="100" t="s">
        <v>491</v>
      </c>
      <c r="BG38"/>
      <c r="BH38"/>
      <c r="BI38"/>
    </row>
    <row r="39" spans="1:95" s="16" customFormat="1" ht="15" customHeight="1" x14ac:dyDescent="0.25">
      <c r="A39" s="32" t="s">
        <v>153</v>
      </c>
      <c r="B39" s="33">
        <v>256</v>
      </c>
      <c r="C39" s="38" t="s">
        <v>24</v>
      </c>
      <c r="D39" s="35" t="s">
        <v>149</v>
      </c>
      <c r="E39" s="33" t="s">
        <v>121</v>
      </c>
      <c r="F39" s="33" t="s">
        <v>127</v>
      </c>
      <c r="G39" s="33" t="s">
        <v>52</v>
      </c>
      <c r="H39" s="33" t="s">
        <v>571</v>
      </c>
      <c r="I39" s="33" t="s">
        <v>37</v>
      </c>
      <c r="J39" s="36" t="s">
        <v>53</v>
      </c>
      <c r="K39" s="36" t="s">
        <v>53</v>
      </c>
      <c r="L39" s="36" t="s">
        <v>54</v>
      </c>
      <c r="M39" s="36">
        <v>4</v>
      </c>
      <c r="N39" s="33" t="s">
        <v>102</v>
      </c>
      <c r="O39" s="37" t="s">
        <v>33</v>
      </c>
      <c r="P39" s="38" t="s">
        <v>150</v>
      </c>
      <c r="Q39" s="38" t="s">
        <v>900</v>
      </c>
      <c r="R39" s="33" t="s">
        <v>37</v>
      </c>
      <c r="S39" s="33" t="s">
        <v>37</v>
      </c>
      <c r="T39" s="33" t="s">
        <v>37</v>
      </c>
      <c r="U39" s="33" t="s">
        <v>151</v>
      </c>
      <c r="V39" s="33">
        <v>21.8</v>
      </c>
      <c r="W39" s="33" t="s">
        <v>152</v>
      </c>
      <c r="X39" s="33">
        <v>7.8</v>
      </c>
      <c r="Y39" s="33">
        <v>2.7679999999999998</v>
      </c>
      <c r="Z39" s="33" t="s">
        <v>37</v>
      </c>
      <c r="AA39" s="33">
        <v>80</v>
      </c>
      <c r="AB39" s="33">
        <v>80</v>
      </c>
      <c r="AC39" s="40">
        <f t="shared" si="31"/>
        <v>2.8901734104046248</v>
      </c>
      <c r="AD39" s="40">
        <f t="shared" si="23"/>
        <v>5.3672805898965974</v>
      </c>
      <c r="AE39" s="43">
        <f t="shared" si="13"/>
        <v>6.0277370663950665</v>
      </c>
      <c r="AG39" s="16">
        <f t="shared" si="24"/>
        <v>0.77268058509570214</v>
      </c>
      <c r="AH39" s="26">
        <f t="shared" si="25"/>
        <v>1.2941958414499863</v>
      </c>
      <c r="AJ39" s="85" t="str">
        <f t="shared" si="26"/>
        <v>NOEC</v>
      </c>
      <c r="AK39" s="9">
        <f t="shared" si="9"/>
        <v>1</v>
      </c>
      <c r="AL39" s="18">
        <f t="shared" si="27"/>
        <v>6.0277370663950665</v>
      </c>
      <c r="AM39" s="88" t="str">
        <f t="shared" si="28"/>
        <v>Chronic</v>
      </c>
      <c r="AN39" s="9">
        <f t="shared" si="10"/>
        <v>1</v>
      </c>
      <c r="AO39" s="18">
        <f t="shared" si="11"/>
        <v>6.0277370663950665</v>
      </c>
      <c r="AQ39" s="110" t="str">
        <f t="shared" si="29"/>
        <v>NOEC</v>
      </c>
      <c r="AR39" s="111" t="s">
        <v>356</v>
      </c>
      <c r="AS39" s="112" t="str">
        <f t="shared" si="30"/>
        <v>Chronic</v>
      </c>
      <c r="AT39" s="111" t="str">
        <f t="shared" si="14"/>
        <v>y</v>
      </c>
      <c r="AU39" s="134" t="str">
        <f>K39</f>
        <v>Mortality</v>
      </c>
      <c r="AV39" s="111" t="s">
        <v>459</v>
      </c>
      <c r="AW39" s="114">
        <f>M39</f>
        <v>4</v>
      </c>
      <c r="AX39" s="111" t="s">
        <v>478</v>
      </c>
      <c r="AY39" s="111"/>
      <c r="AZ39" s="138">
        <f t="shared" si="22"/>
        <v>6.0277370663950665</v>
      </c>
      <c r="BA39" s="140">
        <f>GEOMEAN(AZ39:AZ39)</f>
        <v>6.0277370663950665</v>
      </c>
      <c r="BB39" s="117"/>
      <c r="BC39" s="137"/>
      <c r="BD39"/>
      <c r="BE39"/>
      <c r="BF39"/>
      <c r="BG39"/>
      <c r="BH39"/>
      <c r="BI39"/>
    </row>
    <row r="40" spans="1:95" ht="15" customHeight="1" x14ac:dyDescent="0.25">
      <c r="A40" s="19" t="s">
        <v>154</v>
      </c>
      <c r="B40" s="9">
        <v>242</v>
      </c>
      <c r="C40" s="10" t="s">
        <v>24</v>
      </c>
      <c r="D40" s="11" t="s">
        <v>155</v>
      </c>
      <c r="E40" s="9" t="s">
        <v>121</v>
      </c>
      <c r="F40" s="9" t="s">
        <v>127</v>
      </c>
      <c r="G40" s="9" t="s">
        <v>52</v>
      </c>
      <c r="H40" s="9" t="s">
        <v>571</v>
      </c>
      <c r="I40" s="12" t="s">
        <v>156</v>
      </c>
      <c r="J40" s="12" t="s">
        <v>53</v>
      </c>
      <c r="K40" s="12" t="s">
        <v>53</v>
      </c>
      <c r="L40" s="12" t="s">
        <v>54</v>
      </c>
      <c r="M40" s="12">
        <v>60</v>
      </c>
      <c r="N40" s="9" t="s">
        <v>55</v>
      </c>
      <c r="O40" s="13" t="s">
        <v>33</v>
      </c>
      <c r="P40" s="14" t="s">
        <v>157</v>
      </c>
      <c r="Q40" s="14" t="s">
        <v>900</v>
      </c>
      <c r="R40" s="9" t="s">
        <v>37</v>
      </c>
      <c r="S40" s="9" t="s">
        <v>37</v>
      </c>
      <c r="T40" s="14" t="s">
        <v>913</v>
      </c>
      <c r="U40" s="9">
        <v>20</v>
      </c>
      <c r="V40" s="9">
        <v>20</v>
      </c>
      <c r="W40" s="28" t="s">
        <v>158</v>
      </c>
      <c r="X40" s="28">
        <v>7.64</v>
      </c>
      <c r="Y40" s="26" t="s">
        <v>159</v>
      </c>
      <c r="Z40" s="9">
        <v>0.97</v>
      </c>
      <c r="AA40" s="9">
        <v>11</v>
      </c>
      <c r="AB40" s="9">
        <v>11</v>
      </c>
      <c r="AC40" s="9">
        <v>0.97</v>
      </c>
      <c r="AD40" s="15">
        <f t="shared" si="23"/>
        <v>1.5016884152725907</v>
      </c>
      <c r="AE40" s="15">
        <f t="shared" si="13"/>
        <v>1.5016884152725907</v>
      </c>
      <c r="AG40" s="16">
        <f t="shared" si="24"/>
        <v>1.1168632477805611</v>
      </c>
      <c r="AH40" s="26">
        <f t="shared" si="25"/>
        <v>0.89536476554959377</v>
      </c>
      <c r="AJ40" s="85" t="str">
        <f t="shared" si="26"/>
        <v>NOEC</v>
      </c>
      <c r="AK40" s="9">
        <f t="shared" si="9"/>
        <v>1</v>
      </c>
      <c r="AL40" s="18">
        <f t="shared" si="27"/>
        <v>1.5016884152725907</v>
      </c>
      <c r="AM40" s="88" t="str">
        <f t="shared" si="28"/>
        <v>Chronic</v>
      </c>
      <c r="AN40" s="9">
        <f t="shared" si="10"/>
        <v>1</v>
      </c>
      <c r="AO40" s="18">
        <f t="shared" si="11"/>
        <v>1.5016884152725907</v>
      </c>
      <c r="AP40" s="16"/>
      <c r="AQ40" s="101" t="str">
        <f t="shared" si="29"/>
        <v>NOEC</v>
      </c>
      <c r="AR40" s="102" t="s">
        <v>356</v>
      </c>
      <c r="AS40" s="103" t="str">
        <f t="shared" si="30"/>
        <v>Chronic</v>
      </c>
      <c r="AT40" s="102" t="str">
        <f t="shared" si="14"/>
        <v>y</v>
      </c>
      <c r="AU40" s="104" t="str">
        <f>K40</f>
        <v>Mortality</v>
      </c>
      <c r="AV40" s="158" t="s">
        <v>459</v>
      </c>
      <c r="AW40" s="105">
        <f>M40</f>
        <v>60</v>
      </c>
      <c r="AX40" s="158" t="s">
        <v>460</v>
      </c>
      <c r="AY40" s="157"/>
      <c r="AZ40" s="154">
        <f t="shared" si="22"/>
        <v>1.5016884152725907</v>
      </c>
      <c r="BA40" s="155">
        <f>GEOMEAN(AZ40)</f>
        <v>1.5016884152725907</v>
      </c>
      <c r="BB40" s="156">
        <f>MIN(BA40)</f>
        <v>1.5016884152725907</v>
      </c>
      <c r="BC40" s="159"/>
    </row>
    <row r="41" spans="1:95" ht="15" customHeight="1" x14ac:dyDescent="0.25">
      <c r="A41" s="19" t="s">
        <v>160</v>
      </c>
      <c r="B41" s="9">
        <v>242</v>
      </c>
      <c r="C41" s="10" t="s">
        <v>24</v>
      </c>
      <c r="D41" s="11" t="s">
        <v>155</v>
      </c>
      <c r="E41" s="9" t="s">
        <v>121</v>
      </c>
      <c r="F41" s="9" t="s">
        <v>127</v>
      </c>
      <c r="G41" s="9" t="s">
        <v>52</v>
      </c>
      <c r="H41" s="9" t="s">
        <v>571</v>
      </c>
      <c r="I41" s="12" t="s">
        <v>156</v>
      </c>
      <c r="J41" s="12" t="s">
        <v>53</v>
      </c>
      <c r="K41" s="12" t="s">
        <v>53</v>
      </c>
      <c r="L41" s="12" t="s">
        <v>112</v>
      </c>
      <c r="M41" s="12">
        <v>60</v>
      </c>
      <c r="N41" s="9" t="s">
        <v>55</v>
      </c>
      <c r="O41" s="13" t="s">
        <v>33</v>
      </c>
      <c r="P41" s="14" t="s">
        <v>157</v>
      </c>
      <c r="Q41" s="14" t="s">
        <v>900</v>
      </c>
      <c r="R41" s="9" t="s">
        <v>37</v>
      </c>
      <c r="S41" s="9" t="s">
        <v>37</v>
      </c>
      <c r="T41" s="14" t="s">
        <v>913</v>
      </c>
      <c r="U41" s="9">
        <v>20</v>
      </c>
      <c r="V41" s="9">
        <v>20</v>
      </c>
      <c r="W41" s="28" t="s">
        <v>158</v>
      </c>
      <c r="X41" s="28">
        <v>7.44</v>
      </c>
      <c r="Y41" s="26" t="s">
        <v>161</v>
      </c>
      <c r="Z41" s="9">
        <v>3.8</v>
      </c>
      <c r="AA41" s="9">
        <v>37</v>
      </c>
      <c r="AB41" s="9">
        <v>37</v>
      </c>
      <c r="AC41" s="9">
        <v>3.8</v>
      </c>
      <c r="AD41" s="15">
        <f t="shared" si="23"/>
        <v>4.8940291506149602</v>
      </c>
      <c r="AE41" s="15">
        <f t="shared" si="13"/>
        <v>4.8940291506149611</v>
      </c>
      <c r="AG41" s="16">
        <f t="shared" si="24"/>
        <v>1.7701089583174185</v>
      </c>
      <c r="AH41" s="26">
        <f t="shared" si="25"/>
        <v>0.56493697481230332</v>
      </c>
      <c r="AJ41" s="85" t="str">
        <f t="shared" si="26"/>
        <v>LC50</v>
      </c>
      <c r="AK41" s="9">
        <f t="shared" si="9"/>
        <v>5</v>
      </c>
      <c r="AL41" s="18">
        <f t="shared" si="27"/>
        <v>0.97880583012299227</v>
      </c>
      <c r="AM41" s="88" t="str">
        <f t="shared" si="28"/>
        <v>Chronic</v>
      </c>
      <c r="AN41" s="9">
        <f t="shared" si="10"/>
        <v>1</v>
      </c>
      <c r="AO41" s="18">
        <f t="shared" si="11"/>
        <v>0.97880583012299227</v>
      </c>
      <c r="AP41" s="16"/>
      <c r="AQ41" s="132" t="str">
        <f t="shared" si="29"/>
        <v>LC50</v>
      </c>
      <c r="AR41" s="67" t="s">
        <v>463</v>
      </c>
      <c r="AS41" s="88" t="str">
        <f t="shared" si="30"/>
        <v>Chronic</v>
      </c>
      <c r="AT41" s="67" t="str">
        <f t="shared" si="14"/>
        <v>y</v>
      </c>
      <c r="AU41" s="76" t="s">
        <v>466</v>
      </c>
      <c r="AV41" s="67"/>
      <c r="AW41" s="70"/>
      <c r="AX41" s="67"/>
      <c r="AY41" s="67"/>
      <c r="AZ41" s="80"/>
      <c r="BA41" s="81"/>
      <c r="BB41" s="78"/>
      <c r="BC41" s="133"/>
    </row>
    <row r="42" spans="1:95" ht="15" customHeight="1" x14ac:dyDescent="0.25">
      <c r="A42" s="8" t="s">
        <v>162</v>
      </c>
      <c r="B42" s="9">
        <v>242</v>
      </c>
      <c r="C42" s="10" t="s">
        <v>24</v>
      </c>
      <c r="D42" s="11" t="s">
        <v>155</v>
      </c>
      <c r="E42" s="9" t="s">
        <v>121</v>
      </c>
      <c r="F42" s="9" t="s">
        <v>127</v>
      </c>
      <c r="G42" s="9" t="s">
        <v>52</v>
      </c>
      <c r="H42" s="9" t="s">
        <v>571</v>
      </c>
      <c r="I42" s="12" t="s">
        <v>156</v>
      </c>
      <c r="J42" s="12" t="s">
        <v>53</v>
      </c>
      <c r="K42" s="12" t="s">
        <v>53</v>
      </c>
      <c r="L42" s="12" t="s">
        <v>112</v>
      </c>
      <c r="M42" s="12">
        <v>30</v>
      </c>
      <c r="N42" s="9" t="s">
        <v>55</v>
      </c>
      <c r="O42" s="13" t="s">
        <v>33</v>
      </c>
      <c r="P42" s="14" t="s">
        <v>157</v>
      </c>
      <c r="Q42" s="14" t="s">
        <v>900</v>
      </c>
      <c r="R42" s="9" t="s">
        <v>37</v>
      </c>
      <c r="S42" s="9" t="s">
        <v>37</v>
      </c>
      <c r="T42" s="14" t="s">
        <v>913</v>
      </c>
      <c r="U42" s="9">
        <v>20</v>
      </c>
      <c r="V42" s="9">
        <v>20</v>
      </c>
      <c r="W42" s="28" t="s">
        <v>163</v>
      </c>
      <c r="X42" s="28">
        <v>7.47</v>
      </c>
      <c r="Y42" s="26" t="s">
        <v>164</v>
      </c>
      <c r="Z42" s="9">
        <v>24.2</v>
      </c>
      <c r="AA42" s="9">
        <v>170</v>
      </c>
      <c r="AB42" s="9">
        <v>170</v>
      </c>
      <c r="AC42" s="9">
        <v>24.2</v>
      </c>
      <c r="AD42" s="15">
        <f t="shared" si="23"/>
        <v>31.942393987231359</v>
      </c>
      <c r="AE42" s="15">
        <f t="shared" si="13"/>
        <v>31.942393987231359</v>
      </c>
      <c r="AG42" s="16">
        <f t="shared" si="24"/>
        <v>1.6519617982290149</v>
      </c>
      <c r="AH42" s="26">
        <f t="shared" si="25"/>
        <v>0.60534087475391363</v>
      </c>
      <c r="AJ42" s="85" t="str">
        <f t="shared" si="26"/>
        <v>LC50</v>
      </c>
      <c r="AK42" s="9">
        <f t="shared" si="9"/>
        <v>5</v>
      </c>
      <c r="AL42" s="18">
        <f t="shared" si="27"/>
        <v>6.3884787974462718</v>
      </c>
      <c r="AM42" s="88" t="str">
        <f t="shared" si="28"/>
        <v>Chronic</v>
      </c>
      <c r="AN42" s="9">
        <f t="shared" si="10"/>
        <v>1</v>
      </c>
      <c r="AO42" s="18">
        <f t="shared" si="11"/>
        <v>6.3884787974462718</v>
      </c>
      <c r="AP42" s="16"/>
      <c r="AQ42" s="132" t="str">
        <f t="shared" si="29"/>
        <v>LC50</v>
      </c>
      <c r="AR42" s="67" t="s">
        <v>463</v>
      </c>
      <c r="AS42" s="88" t="str">
        <f t="shared" si="30"/>
        <v>Chronic</v>
      </c>
      <c r="AT42" s="67" t="str">
        <f t="shared" si="14"/>
        <v>y</v>
      </c>
      <c r="AU42" s="76" t="s">
        <v>466</v>
      </c>
      <c r="AV42" s="67"/>
      <c r="AW42" s="70"/>
      <c r="AX42" s="67"/>
      <c r="AY42" s="67"/>
      <c r="AZ42" s="80"/>
      <c r="BA42" s="81"/>
      <c r="BB42" s="78"/>
      <c r="BC42" s="133"/>
    </row>
    <row r="43" spans="1:95" ht="15" customHeight="1" x14ac:dyDescent="0.25">
      <c r="A43" s="8" t="s">
        <v>165</v>
      </c>
      <c r="B43" s="9">
        <v>242</v>
      </c>
      <c r="C43" s="10" t="s">
        <v>24</v>
      </c>
      <c r="D43" s="11" t="s">
        <v>155</v>
      </c>
      <c r="E43" s="9" t="s">
        <v>121</v>
      </c>
      <c r="F43" s="9" t="s">
        <v>127</v>
      </c>
      <c r="G43" s="9" t="s">
        <v>52</v>
      </c>
      <c r="H43" s="9" t="s">
        <v>571</v>
      </c>
      <c r="I43" s="12" t="s">
        <v>156</v>
      </c>
      <c r="J43" s="12" t="s">
        <v>64</v>
      </c>
      <c r="K43" s="12" t="s">
        <v>64</v>
      </c>
      <c r="L43" s="12" t="s">
        <v>54</v>
      </c>
      <c r="M43" s="12">
        <v>60</v>
      </c>
      <c r="N43" s="9" t="s">
        <v>55</v>
      </c>
      <c r="O43" s="13" t="s">
        <v>33</v>
      </c>
      <c r="P43" s="14" t="s">
        <v>157</v>
      </c>
      <c r="Q43" s="14" t="s">
        <v>900</v>
      </c>
      <c r="R43" s="9" t="s">
        <v>37</v>
      </c>
      <c r="S43" s="9" t="s">
        <v>37</v>
      </c>
      <c r="T43" s="14" t="s">
        <v>913</v>
      </c>
      <c r="U43" s="9">
        <v>20</v>
      </c>
      <c r="V43" s="9">
        <v>20</v>
      </c>
      <c r="W43" s="28" t="s">
        <v>158</v>
      </c>
      <c r="X43" s="28">
        <v>7.64</v>
      </c>
      <c r="Y43" s="26" t="s">
        <v>159</v>
      </c>
      <c r="Z43" s="9">
        <v>0.97</v>
      </c>
      <c r="AA43" s="9">
        <v>11</v>
      </c>
      <c r="AB43" s="9">
        <v>11</v>
      </c>
      <c r="AC43" s="9">
        <v>0.97</v>
      </c>
      <c r="AD43" s="15">
        <f t="shared" si="23"/>
        <v>1.5016884152725907</v>
      </c>
      <c r="AE43" s="15">
        <f t="shared" si="13"/>
        <v>1.5016884152725907</v>
      </c>
      <c r="AG43" s="16">
        <f t="shared" si="24"/>
        <v>1.1168632477805611</v>
      </c>
      <c r="AH43" s="26">
        <f t="shared" si="25"/>
        <v>0.89536476554959377</v>
      </c>
      <c r="AJ43" s="85" t="str">
        <f t="shared" si="26"/>
        <v>NOEC</v>
      </c>
      <c r="AK43" s="9">
        <f t="shared" si="9"/>
        <v>1</v>
      </c>
      <c r="AL43" s="18">
        <f t="shared" si="27"/>
        <v>1.5016884152725907</v>
      </c>
      <c r="AM43" s="88" t="str">
        <f t="shared" si="28"/>
        <v>Chronic</v>
      </c>
      <c r="AN43" s="9">
        <f t="shared" si="10"/>
        <v>1</v>
      </c>
      <c r="AO43" s="18">
        <f t="shared" si="11"/>
        <v>1.5016884152725907</v>
      </c>
      <c r="AP43" s="16"/>
      <c r="AQ43" s="132" t="str">
        <f t="shared" si="29"/>
        <v>NOEC</v>
      </c>
      <c r="AR43" s="67" t="s">
        <v>356</v>
      </c>
      <c r="AS43" s="88" t="str">
        <f t="shared" si="30"/>
        <v>Chronic</v>
      </c>
      <c r="AT43" s="67" t="str">
        <f t="shared" si="14"/>
        <v>y</v>
      </c>
      <c r="AU43" s="69" t="str">
        <f>K43</f>
        <v>Reproduction</v>
      </c>
      <c r="AV43" s="67" t="s">
        <v>473</v>
      </c>
      <c r="AW43" s="70">
        <f>M43</f>
        <v>60</v>
      </c>
      <c r="AX43" s="67" t="s">
        <v>474</v>
      </c>
      <c r="AY43" s="67"/>
      <c r="AZ43" s="151">
        <f t="shared" ref="AZ43" si="32">AO43</f>
        <v>1.5016884152725907</v>
      </c>
      <c r="BA43" s="95">
        <f>GEOMEAN(AZ43)</f>
        <v>1.5016884152725907</v>
      </c>
      <c r="BB43" s="96">
        <f>MIN(BA43)</f>
        <v>1.5016884152725907</v>
      </c>
      <c r="BC43" s="133"/>
    </row>
    <row r="44" spans="1:95" ht="15" customHeight="1" x14ac:dyDescent="0.25">
      <c r="A44" s="8" t="s">
        <v>166</v>
      </c>
      <c r="B44" s="9">
        <v>242</v>
      </c>
      <c r="C44" s="10" t="s">
        <v>24</v>
      </c>
      <c r="D44" s="11" t="s">
        <v>155</v>
      </c>
      <c r="E44" s="9" t="s">
        <v>121</v>
      </c>
      <c r="F44" s="9" t="s">
        <v>127</v>
      </c>
      <c r="G44" s="9" t="s">
        <v>52</v>
      </c>
      <c r="H44" s="9" t="s">
        <v>571</v>
      </c>
      <c r="I44" s="12" t="s">
        <v>156</v>
      </c>
      <c r="J44" s="12" t="s">
        <v>64</v>
      </c>
      <c r="K44" s="12" t="s">
        <v>64</v>
      </c>
      <c r="L44" s="12" t="s">
        <v>167</v>
      </c>
      <c r="M44" s="12">
        <v>60</v>
      </c>
      <c r="N44" s="9" t="s">
        <v>55</v>
      </c>
      <c r="O44" s="13" t="s">
        <v>33</v>
      </c>
      <c r="P44" s="14" t="s">
        <v>157</v>
      </c>
      <c r="Q44" s="14" t="s">
        <v>900</v>
      </c>
      <c r="R44" s="9" t="s">
        <v>37</v>
      </c>
      <c r="S44" s="9" t="s">
        <v>37</v>
      </c>
      <c r="T44" s="14" t="s">
        <v>913</v>
      </c>
      <c r="U44" s="9">
        <v>20</v>
      </c>
      <c r="V44" s="9">
        <v>20</v>
      </c>
      <c r="W44" s="28" t="s">
        <v>158</v>
      </c>
      <c r="X44" s="28">
        <v>7.44</v>
      </c>
      <c r="Y44" s="26" t="s">
        <v>161</v>
      </c>
      <c r="Z44" s="9">
        <v>0.8</v>
      </c>
      <c r="AA44" s="9">
        <v>13</v>
      </c>
      <c r="AB44" s="9">
        <v>13</v>
      </c>
      <c r="AC44" s="9">
        <v>0.8</v>
      </c>
      <c r="AD44" s="15">
        <f t="shared" si="23"/>
        <v>1.030321926445255</v>
      </c>
      <c r="AE44" s="15">
        <f t="shared" si="13"/>
        <v>1.030321926445255</v>
      </c>
      <c r="AG44" s="16">
        <f t="shared" si="24"/>
        <v>1.7701089583174185</v>
      </c>
      <c r="AH44" s="26">
        <f t="shared" si="25"/>
        <v>0.56493697481230332</v>
      </c>
      <c r="AJ44" s="85" t="str">
        <f t="shared" si="26"/>
        <v>IC50</v>
      </c>
      <c r="AK44" s="9">
        <f t="shared" si="9"/>
        <v>5</v>
      </c>
      <c r="AL44" s="18">
        <f t="shared" si="27"/>
        <v>0.20606438528905099</v>
      </c>
      <c r="AM44" s="88" t="str">
        <f t="shared" si="28"/>
        <v>Chronic</v>
      </c>
      <c r="AN44" s="9">
        <f t="shared" si="10"/>
        <v>1</v>
      </c>
      <c r="AO44" s="18">
        <f t="shared" si="11"/>
        <v>0.20606438528905099</v>
      </c>
      <c r="AP44" s="16"/>
      <c r="AQ44" s="132" t="str">
        <f t="shared" si="29"/>
        <v>IC50</v>
      </c>
      <c r="AR44" s="67" t="s">
        <v>463</v>
      </c>
      <c r="AS44" s="88" t="str">
        <f t="shared" si="30"/>
        <v>Chronic</v>
      </c>
      <c r="AT44" s="67" t="str">
        <f t="shared" si="14"/>
        <v>y</v>
      </c>
      <c r="AU44" s="76" t="s">
        <v>466</v>
      </c>
      <c r="AV44" s="67"/>
      <c r="AW44" s="70"/>
      <c r="AX44" s="67"/>
      <c r="AY44" s="67"/>
      <c r="AZ44" s="80"/>
      <c r="BA44" s="81"/>
      <c r="BB44" s="78"/>
      <c r="BC44" s="133"/>
    </row>
    <row r="45" spans="1:95" ht="15" customHeight="1" x14ac:dyDescent="0.25">
      <c r="A45" s="8" t="s">
        <v>168</v>
      </c>
      <c r="B45" s="9">
        <v>242</v>
      </c>
      <c r="C45" s="10" t="s">
        <v>24</v>
      </c>
      <c r="D45" s="11" t="s">
        <v>155</v>
      </c>
      <c r="E45" s="9" t="s">
        <v>121</v>
      </c>
      <c r="F45" s="9" t="s">
        <v>127</v>
      </c>
      <c r="G45" s="9" t="s">
        <v>52</v>
      </c>
      <c r="H45" s="9" t="s">
        <v>571</v>
      </c>
      <c r="I45" s="12" t="s">
        <v>156</v>
      </c>
      <c r="J45" s="12" t="s">
        <v>136</v>
      </c>
      <c r="K45" s="12" t="s">
        <v>169</v>
      </c>
      <c r="L45" s="12" t="s">
        <v>54</v>
      </c>
      <c r="M45" s="12">
        <v>60</v>
      </c>
      <c r="N45" s="9" t="s">
        <v>55</v>
      </c>
      <c r="O45" s="13" t="s">
        <v>33</v>
      </c>
      <c r="P45" s="14" t="s">
        <v>157</v>
      </c>
      <c r="Q45" s="14" t="s">
        <v>900</v>
      </c>
      <c r="R45" s="9" t="s">
        <v>37</v>
      </c>
      <c r="S45" s="9" t="s">
        <v>37</v>
      </c>
      <c r="T45" s="14" t="s">
        <v>913</v>
      </c>
      <c r="U45" s="9">
        <v>20</v>
      </c>
      <c r="V45" s="9">
        <v>20</v>
      </c>
      <c r="W45" s="28" t="s">
        <v>158</v>
      </c>
      <c r="X45" s="28">
        <v>7.73</v>
      </c>
      <c r="Y45" s="26" t="s">
        <v>170</v>
      </c>
      <c r="Z45" s="9">
        <v>0.65</v>
      </c>
      <c r="AA45" s="9">
        <v>12</v>
      </c>
      <c r="AB45" s="9">
        <v>12</v>
      </c>
      <c r="AC45" s="9">
        <v>0.65</v>
      </c>
      <c r="AD45" s="15">
        <f t="shared" si="23"/>
        <v>1.1105489745328638</v>
      </c>
      <c r="AE45" s="15">
        <f t="shared" si="13"/>
        <v>1.1105489745328638</v>
      </c>
      <c r="AG45" s="16">
        <f t="shared" si="24"/>
        <v>0.90782053017818432</v>
      </c>
      <c r="AH45" s="26">
        <f t="shared" si="25"/>
        <v>1.1015393095414168</v>
      </c>
      <c r="AJ45" s="85" t="str">
        <f t="shared" si="26"/>
        <v>NOEC</v>
      </c>
      <c r="AK45" s="9">
        <f t="shared" si="9"/>
        <v>1</v>
      </c>
      <c r="AL45" s="18">
        <f t="shared" si="27"/>
        <v>1.1105489745328638</v>
      </c>
      <c r="AM45" s="88" t="str">
        <f t="shared" si="28"/>
        <v>Chronic</v>
      </c>
      <c r="AN45" s="9">
        <f t="shared" si="10"/>
        <v>1</v>
      </c>
      <c r="AO45" s="18">
        <f t="shared" si="11"/>
        <v>1.1105489745328638</v>
      </c>
      <c r="AP45" s="16"/>
      <c r="AQ45" s="110" t="str">
        <f t="shared" si="29"/>
        <v>NOEC</v>
      </c>
      <c r="AR45" s="111" t="s">
        <v>356</v>
      </c>
      <c r="AS45" s="112" t="str">
        <f t="shared" si="30"/>
        <v>Chronic</v>
      </c>
      <c r="AT45" s="111" t="str">
        <f t="shared" si="14"/>
        <v>y</v>
      </c>
      <c r="AU45" s="134" t="str">
        <f>K45</f>
        <v>Length</v>
      </c>
      <c r="AV45" s="111" t="s">
        <v>475</v>
      </c>
      <c r="AW45" s="114">
        <f>M45</f>
        <v>60</v>
      </c>
      <c r="AX45" s="111" t="s">
        <v>476</v>
      </c>
      <c r="AY45" s="111"/>
      <c r="AZ45" s="152">
        <f t="shared" ref="AZ45" si="33">AO45</f>
        <v>1.1105489745328638</v>
      </c>
      <c r="BA45" s="116">
        <f>GEOMEAN(AZ45)</f>
        <v>1.1105489745328638</v>
      </c>
      <c r="BB45" s="117">
        <f>MIN(BA45)</f>
        <v>1.1105489745328638</v>
      </c>
      <c r="BC45" s="142">
        <f>MIN(BB40:BB45)</f>
        <v>1.1105489745328638</v>
      </c>
    </row>
    <row r="46" spans="1:95" s="42" customFormat="1" ht="15" customHeight="1" x14ac:dyDescent="0.25">
      <c r="A46" s="32" t="s">
        <v>171</v>
      </c>
      <c r="B46" s="33">
        <v>254</v>
      </c>
      <c r="C46" s="34" t="s">
        <v>24</v>
      </c>
      <c r="D46" s="35" t="s">
        <v>172</v>
      </c>
      <c r="E46" s="33" t="s">
        <v>121</v>
      </c>
      <c r="F46" s="33" t="s">
        <v>127</v>
      </c>
      <c r="G46" s="33" t="s">
        <v>52</v>
      </c>
      <c r="H46" s="33" t="s">
        <v>571</v>
      </c>
      <c r="I46" s="36" t="s">
        <v>128</v>
      </c>
      <c r="J46" s="36" t="s">
        <v>53</v>
      </c>
      <c r="K46" s="36" t="s">
        <v>53</v>
      </c>
      <c r="L46" s="36" t="s">
        <v>54</v>
      </c>
      <c r="M46" s="36">
        <v>28</v>
      </c>
      <c r="N46" s="33" t="s">
        <v>55</v>
      </c>
      <c r="O46" s="37" t="s">
        <v>33</v>
      </c>
      <c r="P46" s="38" t="s">
        <v>129</v>
      </c>
      <c r="Q46" s="38" t="s">
        <v>900</v>
      </c>
      <c r="R46" s="33" t="s">
        <v>37</v>
      </c>
      <c r="S46" s="33" t="s">
        <v>37</v>
      </c>
      <c r="T46" s="33" t="s">
        <v>909</v>
      </c>
      <c r="U46" s="33" t="s">
        <v>130</v>
      </c>
      <c r="V46" s="33">
        <v>20</v>
      </c>
      <c r="W46" s="33" t="s">
        <v>131</v>
      </c>
      <c r="X46" s="33">
        <v>8.1999999999999993</v>
      </c>
      <c r="Y46" s="33">
        <v>5.9020000000000001</v>
      </c>
      <c r="Z46" s="33">
        <v>0.81</v>
      </c>
      <c r="AA46" s="33" t="s">
        <v>37</v>
      </c>
      <c r="AB46" s="33">
        <v>47.8</v>
      </c>
      <c r="AC46" s="33">
        <v>0.81</v>
      </c>
      <c r="AD46" s="40">
        <f t="shared" si="23"/>
        <v>2.6696199423827855</v>
      </c>
      <c r="AE46" s="40">
        <f t="shared" si="13"/>
        <v>2.669619942382786</v>
      </c>
      <c r="AF46"/>
      <c r="AG46" s="16">
        <f t="shared" si="24"/>
        <v>0.30760968147407108</v>
      </c>
      <c r="AH46" s="26">
        <f t="shared" si="25"/>
        <v>3.2508729738543409</v>
      </c>
      <c r="AI46"/>
      <c r="AJ46" s="85" t="str">
        <f t="shared" si="26"/>
        <v>NOEC</v>
      </c>
      <c r="AK46" s="9">
        <f t="shared" si="9"/>
        <v>1</v>
      </c>
      <c r="AL46" s="18">
        <f t="shared" si="27"/>
        <v>2.669619942382786</v>
      </c>
      <c r="AM46" s="88" t="str">
        <f t="shared" si="28"/>
        <v>Chronic</v>
      </c>
      <c r="AN46" s="9">
        <f t="shared" si="10"/>
        <v>1</v>
      </c>
      <c r="AO46" s="18">
        <f t="shared" si="11"/>
        <v>2.669619942382786</v>
      </c>
      <c r="AP46" s="16"/>
      <c r="AQ46" s="101" t="str">
        <f t="shared" si="29"/>
        <v>NOEC</v>
      </c>
      <c r="AR46" s="102" t="s">
        <v>356</v>
      </c>
      <c r="AS46" s="103" t="str">
        <f t="shared" si="30"/>
        <v>Chronic</v>
      </c>
      <c r="AT46" s="102" t="str">
        <f t="shared" si="14"/>
        <v>y</v>
      </c>
      <c r="AU46" s="139" t="s">
        <v>464</v>
      </c>
      <c r="AV46" s="102"/>
      <c r="AW46" s="105"/>
      <c r="AX46" s="102"/>
      <c r="AY46" s="102"/>
      <c r="AZ46" s="106"/>
      <c r="BA46" s="107"/>
      <c r="BB46" s="108"/>
      <c r="BC46" s="109"/>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row>
    <row r="47" spans="1:95" s="42" customFormat="1" ht="15" customHeight="1" x14ac:dyDescent="0.25">
      <c r="A47" s="32" t="s">
        <v>173</v>
      </c>
      <c r="B47" s="33">
        <v>254</v>
      </c>
      <c r="C47" s="34" t="s">
        <v>24</v>
      </c>
      <c r="D47" s="35" t="s">
        <v>172</v>
      </c>
      <c r="E47" s="33" t="s">
        <v>121</v>
      </c>
      <c r="F47" s="33" t="s">
        <v>127</v>
      </c>
      <c r="G47" s="33" t="s">
        <v>52</v>
      </c>
      <c r="H47" s="33" t="s">
        <v>571</v>
      </c>
      <c r="I47" s="36" t="s">
        <v>128</v>
      </c>
      <c r="J47" s="36" t="s">
        <v>53</v>
      </c>
      <c r="K47" s="36" t="s">
        <v>53</v>
      </c>
      <c r="L47" s="48" t="s">
        <v>133</v>
      </c>
      <c r="M47" s="36">
        <v>28</v>
      </c>
      <c r="N47" s="33" t="s">
        <v>55</v>
      </c>
      <c r="O47" s="37" t="s">
        <v>33</v>
      </c>
      <c r="P47" s="38" t="s">
        <v>129</v>
      </c>
      <c r="Q47" s="38" t="s">
        <v>900</v>
      </c>
      <c r="R47" s="33" t="s">
        <v>37</v>
      </c>
      <c r="S47" s="33" t="s">
        <v>37</v>
      </c>
      <c r="T47" s="33" t="s">
        <v>909</v>
      </c>
      <c r="U47" s="33" t="s">
        <v>130</v>
      </c>
      <c r="V47" s="33">
        <v>20</v>
      </c>
      <c r="W47" s="33" t="s">
        <v>131</v>
      </c>
      <c r="X47" s="33">
        <v>8.1999999999999993</v>
      </c>
      <c r="Y47" s="33">
        <v>5.9020000000000001</v>
      </c>
      <c r="Z47" s="33">
        <v>0.89</v>
      </c>
      <c r="AA47" s="33" t="s">
        <v>37</v>
      </c>
      <c r="AB47" s="33">
        <v>52.5</v>
      </c>
      <c r="AC47" s="33">
        <v>0.89</v>
      </c>
      <c r="AD47" s="40">
        <f t="shared" si="23"/>
        <v>2.9332861095317027</v>
      </c>
      <c r="AE47" s="40">
        <f t="shared" si="13"/>
        <v>2.9332861095317031</v>
      </c>
      <c r="AF47"/>
      <c r="AG47" s="16">
        <f t="shared" si="24"/>
        <v>0.30760968147407108</v>
      </c>
      <c r="AH47" s="26">
        <f t="shared" si="25"/>
        <v>3.2508729738543409</v>
      </c>
      <c r="AI47"/>
      <c r="AJ47" s="85" t="str">
        <f t="shared" si="26"/>
        <v>IC10</v>
      </c>
      <c r="AK47" s="9">
        <f t="shared" si="9"/>
        <v>1</v>
      </c>
      <c r="AL47" s="18">
        <f t="shared" si="27"/>
        <v>2.9332861095317031</v>
      </c>
      <c r="AM47" s="88" t="str">
        <f t="shared" si="28"/>
        <v>Chronic</v>
      </c>
      <c r="AN47" s="9">
        <f t="shared" si="10"/>
        <v>1</v>
      </c>
      <c r="AO47" s="18">
        <f t="shared" si="11"/>
        <v>2.9332861095317031</v>
      </c>
      <c r="AP47" s="16"/>
      <c r="AQ47" s="132" t="str">
        <f t="shared" si="29"/>
        <v>IC10</v>
      </c>
      <c r="AR47" s="67" t="s">
        <v>356</v>
      </c>
      <c r="AS47" s="88" t="str">
        <f t="shared" si="30"/>
        <v>Chronic</v>
      </c>
      <c r="AT47" s="67" t="str">
        <f t="shared" si="14"/>
        <v>y</v>
      </c>
      <c r="AU47" s="69" t="str">
        <f>K47</f>
        <v>Mortality</v>
      </c>
      <c r="AV47" s="67" t="s">
        <v>459</v>
      </c>
      <c r="AW47" s="70">
        <f>M47</f>
        <v>28</v>
      </c>
      <c r="AX47" s="67" t="s">
        <v>460</v>
      </c>
      <c r="AY47" s="67"/>
      <c r="AZ47" s="151">
        <f t="shared" ref="AZ47" si="34">AO47</f>
        <v>2.9332861095317031</v>
      </c>
      <c r="BA47" s="95">
        <f>GEOMEAN(AZ47)</f>
        <v>2.9332861095317031</v>
      </c>
      <c r="BB47" s="96">
        <f>MIN(BA47)</f>
        <v>2.9332861095317031</v>
      </c>
      <c r="BC47" s="133"/>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row>
    <row r="48" spans="1:95" s="42" customFormat="1" ht="15" customHeight="1" x14ac:dyDescent="0.25">
      <c r="A48" s="32" t="s">
        <v>174</v>
      </c>
      <c r="B48" s="33">
        <v>254</v>
      </c>
      <c r="C48" s="34" t="s">
        <v>24</v>
      </c>
      <c r="D48" s="35" t="s">
        <v>172</v>
      </c>
      <c r="E48" s="33" t="s">
        <v>121</v>
      </c>
      <c r="F48" s="33" t="s">
        <v>127</v>
      </c>
      <c r="G48" s="33" t="s">
        <v>52</v>
      </c>
      <c r="H48" s="33" t="s">
        <v>571</v>
      </c>
      <c r="I48" s="36" t="s">
        <v>128</v>
      </c>
      <c r="J48" s="36" t="s">
        <v>136</v>
      </c>
      <c r="K48" s="36" t="s">
        <v>137</v>
      </c>
      <c r="L48" s="36" t="s">
        <v>54</v>
      </c>
      <c r="M48" s="36">
        <v>28</v>
      </c>
      <c r="N48" s="33" t="s">
        <v>55</v>
      </c>
      <c r="O48" s="37" t="s">
        <v>33</v>
      </c>
      <c r="P48" s="38" t="s">
        <v>129</v>
      </c>
      <c r="Q48" s="38" t="s">
        <v>900</v>
      </c>
      <c r="R48" s="33" t="s">
        <v>37</v>
      </c>
      <c r="S48" s="33" t="s">
        <v>37</v>
      </c>
      <c r="T48" s="33" t="s">
        <v>909</v>
      </c>
      <c r="U48" s="33" t="s">
        <v>130</v>
      </c>
      <c r="V48" s="33">
        <v>20</v>
      </c>
      <c r="W48" s="33" t="s">
        <v>131</v>
      </c>
      <c r="X48" s="33">
        <v>8.1999999999999993</v>
      </c>
      <c r="Y48" s="33">
        <v>5.9020000000000001</v>
      </c>
      <c r="Z48" s="33" t="s">
        <v>175</v>
      </c>
      <c r="AA48" s="33" t="s">
        <v>37</v>
      </c>
      <c r="AB48" s="33">
        <v>23.6</v>
      </c>
      <c r="AC48" s="33">
        <v>0.4</v>
      </c>
      <c r="AD48" s="40">
        <f t="shared" si="23"/>
        <v>1.3183308357445855</v>
      </c>
      <c r="AE48" s="40">
        <f t="shared" si="13"/>
        <v>1.3183308357445855</v>
      </c>
      <c r="AF48" t="s">
        <v>577</v>
      </c>
      <c r="AG48" s="16">
        <f t="shared" si="24"/>
        <v>0.30760968147407108</v>
      </c>
      <c r="AH48" s="26">
        <f t="shared" si="25"/>
        <v>3.2508729738543409</v>
      </c>
      <c r="AI48"/>
      <c r="AJ48" s="85" t="str">
        <f t="shared" si="26"/>
        <v>NOEC</v>
      </c>
      <c r="AK48" s="9">
        <f t="shared" si="9"/>
        <v>1</v>
      </c>
      <c r="AL48" s="18">
        <f t="shared" si="27"/>
        <v>1.3183308357445855</v>
      </c>
      <c r="AM48" s="88" t="str">
        <f t="shared" si="28"/>
        <v>Chronic</v>
      </c>
      <c r="AN48" s="9">
        <f t="shared" si="10"/>
        <v>1</v>
      </c>
      <c r="AO48" s="18">
        <f t="shared" si="11"/>
        <v>1.3183308357445855</v>
      </c>
      <c r="AP48" s="16"/>
      <c r="AQ48" s="132" t="str">
        <f t="shared" si="29"/>
        <v>NOEC</v>
      </c>
      <c r="AR48" s="67" t="s">
        <v>356</v>
      </c>
      <c r="AS48" s="88" t="str">
        <f t="shared" si="30"/>
        <v>Chronic</v>
      </c>
      <c r="AT48" s="67" t="str">
        <f t="shared" si="14"/>
        <v>y</v>
      </c>
      <c r="AU48" s="76" t="s">
        <v>464</v>
      </c>
      <c r="AV48" s="67"/>
      <c r="AW48" s="70"/>
      <c r="AX48" s="67"/>
      <c r="AY48" s="67"/>
      <c r="AZ48" s="80"/>
      <c r="BA48" s="81"/>
      <c r="BB48" s="78"/>
      <c r="BC48" s="133"/>
      <c r="BD48" s="16"/>
      <c r="BE48" s="16"/>
      <c r="BF48" s="16"/>
      <c r="BG48" s="16"/>
      <c r="BH48" s="16"/>
      <c r="BI48" s="16"/>
      <c r="BJ48"/>
      <c r="BK48"/>
      <c r="BL48"/>
      <c r="BM48"/>
      <c r="BN48"/>
      <c r="BO48"/>
      <c r="BP48"/>
      <c r="BQ48"/>
      <c r="BR48"/>
      <c r="BS48"/>
      <c r="BT48"/>
      <c r="BU48"/>
      <c r="BV48"/>
      <c r="BW48"/>
      <c r="BX48"/>
      <c r="BY48"/>
      <c r="BZ48"/>
      <c r="CA48"/>
      <c r="CB48"/>
      <c r="CC48"/>
      <c r="CD48"/>
      <c r="CE48"/>
      <c r="CF48"/>
      <c r="CG48"/>
      <c r="CH48"/>
      <c r="CI48"/>
      <c r="CJ48"/>
      <c r="CK48"/>
      <c r="CL48"/>
      <c r="CM48"/>
      <c r="CN48"/>
      <c r="CO48"/>
      <c r="CP48"/>
      <c r="CQ48"/>
    </row>
    <row r="49" spans="1:95" s="42" customFormat="1" ht="15" customHeight="1" x14ac:dyDescent="0.25">
      <c r="A49" s="32" t="s">
        <v>176</v>
      </c>
      <c r="B49" s="33">
        <v>254</v>
      </c>
      <c r="C49" s="34" t="s">
        <v>24</v>
      </c>
      <c r="D49" s="35" t="s">
        <v>172</v>
      </c>
      <c r="E49" s="33" t="s">
        <v>121</v>
      </c>
      <c r="F49" s="33" t="s">
        <v>127</v>
      </c>
      <c r="G49" s="33" t="s">
        <v>52</v>
      </c>
      <c r="H49" s="33" t="s">
        <v>571</v>
      </c>
      <c r="I49" s="36" t="s">
        <v>128</v>
      </c>
      <c r="J49" s="36" t="s">
        <v>177</v>
      </c>
      <c r="K49" s="36" t="s">
        <v>137</v>
      </c>
      <c r="L49" s="36" t="s">
        <v>133</v>
      </c>
      <c r="M49" s="36">
        <v>28</v>
      </c>
      <c r="N49" s="33" t="s">
        <v>55</v>
      </c>
      <c r="O49" s="37" t="s">
        <v>33</v>
      </c>
      <c r="P49" s="38" t="s">
        <v>129</v>
      </c>
      <c r="Q49" s="38" t="s">
        <v>900</v>
      </c>
      <c r="R49" s="33" t="s">
        <v>37</v>
      </c>
      <c r="S49" s="33" t="s">
        <v>37</v>
      </c>
      <c r="T49" s="33" t="s">
        <v>909</v>
      </c>
      <c r="U49" s="33" t="s">
        <v>130</v>
      </c>
      <c r="V49" s="33">
        <v>20</v>
      </c>
      <c r="W49" s="33" t="s">
        <v>131</v>
      </c>
      <c r="X49" s="33">
        <v>8.1999999999999993</v>
      </c>
      <c r="Y49" s="33">
        <v>5.9020000000000001</v>
      </c>
      <c r="Z49" s="33" t="s">
        <v>175</v>
      </c>
      <c r="AA49" s="33" t="s">
        <v>37</v>
      </c>
      <c r="AB49" s="33">
        <v>23.6</v>
      </c>
      <c r="AC49" s="33">
        <v>0.4</v>
      </c>
      <c r="AD49" s="40">
        <f t="shared" si="23"/>
        <v>1.3183308357445855</v>
      </c>
      <c r="AE49" s="40">
        <f t="shared" si="13"/>
        <v>1.3183308357445855</v>
      </c>
      <c r="AF49" t="s">
        <v>577</v>
      </c>
      <c r="AG49" s="16">
        <f t="shared" si="24"/>
        <v>0.30760968147407108</v>
      </c>
      <c r="AH49" s="26">
        <f t="shared" si="25"/>
        <v>3.2508729738543409</v>
      </c>
      <c r="AI49"/>
      <c r="AJ49" s="85" t="str">
        <f t="shared" si="26"/>
        <v>IC10</v>
      </c>
      <c r="AK49" s="9">
        <f t="shared" si="9"/>
        <v>1</v>
      </c>
      <c r="AL49" s="18">
        <f t="shared" si="27"/>
        <v>1.3183308357445855</v>
      </c>
      <c r="AM49" s="88" t="str">
        <f t="shared" si="28"/>
        <v>Chronic</v>
      </c>
      <c r="AN49" s="9">
        <f t="shared" si="10"/>
        <v>1</v>
      </c>
      <c r="AO49" s="18">
        <f t="shared" si="11"/>
        <v>1.3183308357445855</v>
      </c>
      <c r="AP49" s="16"/>
      <c r="AQ49" s="110" t="str">
        <f t="shared" si="29"/>
        <v>IC10</v>
      </c>
      <c r="AR49" s="111" t="s">
        <v>356</v>
      </c>
      <c r="AS49" s="112" t="str">
        <f t="shared" si="30"/>
        <v>Chronic</v>
      </c>
      <c r="AT49" s="111" t="str">
        <f t="shared" si="14"/>
        <v>y</v>
      </c>
      <c r="AU49" s="134" t="str">
        <f>K49</f>
        <v>Shell length</v>
      </c>
      <c r="AV49" s="111" t="s">
        <v>473</v>
      </c>
      <c r="AW49" s="114">
        <f>M49</f>
        <v>28</v>
      </c>
      <c r="AX49" s="111" t="s">
        <v>474</v>
      </c>
      <c r="AY49" s="111"/>
      <c r="AZ49" s="152">
        <f>AO49</f>
        <v>1.3183308357445855</v>
      </c>
      <c r="BA49" s="116">
        <f>GEOMEAN(AZ49)</f>
        <v>1.3183308357445855</v>
      </c>
      <c r="BB49" s="117">
        <f>MIN(BA49)</f>
        <v>1.3183308357445855</v>
      </c>
      <c r="BC49" s="142">
        <f>MIN(BB47:BB49)</f>
        <v>1.3183308357445855</v>
      </c>
      <c r="BD49" s="16"/>
      <c r="BE49" s="16"/>
      <c r="BF49" s="16"/>
      <c r="BG49" s="16"/>
      <c r="BH49" s="16"/>
      <c r="BI49" s="16"/>
      <c r="BJ49"/>
      <c r="BK49"/>
      <c r="BL49"/>
      <c r="BM49"/>
      <c r="BN49"/>
      <c r="BO49"/>
      <c r="BP49"/>
      <c r="BQ49"/>
      <c r="BR49"/>
      <c r="BS49"/>
      <c r="BT49"/>
      <c r="BU49"/>
      <c r="BV49"/>
      <c r="BW49"/>
      <c r="BX49"/>
      <c r="BY49"/>
      <c r="BZ49"/>
      <c r="CA49"/>
      <c r="CB49"/>
      <c r="CC49"/>
      <c r="CD49"/>
      <c r="CE49"/>
      <c r="CF49"/>
      <c r="CG49"/>
      <c r="CH49"/>
      <c r="CI49"/>
      <c r="CJ49"/>
      <c r="CK49"/>
      <c r="CL49"/>
      <c r="CM49"/>
      <c r="CN49"/>
      <c r="CO49"/>
      <c r="CP49"/>
      <c r="CQ49"/>
    </row>
    <row r="50" spans="1:95" ht="15" customHeight="1" x14ac:dyDescent="0.25">
      <c r="A50" s="19" t="s">
        <v>182</v>
      </c>
      <c r="B50" s="23">
        <v>226</v>
      </c>
      <c r="C50" s="10" t="s">
        <v>24</v>
      </c>
      <c r="D50" s="11" t="s">
        <v>183</v>
      </c>
      <c r="E50" s="9" t="s">
        <v>178</v>
      </c>
      <c r="F50" s="9" t="s">
        <v>179</v>
      </c>
      <c r="G50" s="9" t="s">
        <v>72</v>
      </c>
      <c r="H50" s="9" t="s">
        <v>572</v>
      </c>
      <c r="I50" s="12" t="s">
        <v>184</v>
      </c>
      <c r="J50" s="12" t="s">
        <v>53</v>
      </c>
      <c r="K50" s="12" t="s">
        <v>53</v>
      </c>
      <c r="L50" s="24" t="s">
        <v>112</v>
      </c>
      <c r="M50" s="9">
        <v>7</v>
      </c>
      <c r="N50" s="9" t="s">
        <v>55</v>
      </c>
      <c r="O50" s="9" t="s">
        <v>33</v>
      </c>
      <c r="P50" s="25" t="s">
        <v>185</v>
      </c>
      <c r="Q50" s="14" t="s">
        <v>900</v>
      </c>
      <c r="R50" s="23" t="s">
        <v>37</v>
      </c>
      <c r="S50" s="23" t="s">
        <v>37</v>
      </c>
      <c r="T50" s="23">
        <v>58.9</v>
      </c>
      <c r="U50" s="23">
        <v>28</v>
      </c>
      <c r="V50" s="23">
        <v>28</v>
      </c>
      <c r="W50" s="23" t="s">
        <v>186</v>
      </c>
      <c r="X50" s="23">
        <v>7.72</v>
      </c>
      <c r="Y50" s="23">
        <v>3.5409999999999999</v>
      </c>
      <c r="Z50" s="23" t="s">
        <v>37</v>
      </c>
      <c r="AA50" s="23">
        <v>1640</v>
      </c>
      <c r="AB50" s="9">
        <v>1640</v>
      </c>
      <c r="AC50" s="27">
        <f t="shared" ref="AC50:AC52" si="35">AB50/((Y50/100)*1000)</f>
        <v>46.314600395368544</v>
      </c>
      <c r="AD50" s="15">
        <f t="shared" si="23"/>
        <v>78.230410400860379</v>
      </c>
      <c r="AE50" s="15">
        <f>AD50</f>
        <v>78.230410400860379</v>
      </c>
      <c r="AG50" s="16">
        <f t="shared" si="24"/>
        <v>0.92896638677993626</v>
      </c>
      <c r="AH50" s="26">
        <f t="shared" si="25"/>
        <v>1.0764652136298349</v>
      </c>
      <c r="AJ50" s="85" t="str">
        <f t="shared" si="26"/>
        <v>LC50</v>
      </c>
      <c r="AK50" s="9">
        <f t="shared" si="9"/>
        <v>5</v>
      </c>
      <c r="AL50" s="18">
        <f t="shared" si="27"/>
        <v>15.646082080172075</v>
      </c>
      <c r="AM50" s="88" t="str">
        <f t="shared" si="28"/>
        <v>Chronic</v>
      </c>
      <c r="AN50" s="9">
        <f t="shared" si="10"/>
        <v>1</v>
      </c>
      <c r="AO50" s="18">
        <f t="shared" si="11"/>
        <v>15.646082080172075</v>
      </c>
      <c r="AP50" s="16"/>
      <c r="AQ50" s="101" t="str">
        <f t="shared" si="29"/>
        <v>LC50</v>
      </c>
      <c r="AR50" s="102" t="s">
        <v>463</v>
      </c>
      <c r="AS50" s="103" t="str">
        <f t="shared" si="30"/>
        <v>Chronic</v>
      </c>
      <c r="AT50" s="102" t="str">
        <f t="shared" si="14"/>
        <v>y</v>
      </c>
      <c r="AU50" s="69" t="str">
        <f>K50</f>
        <v>Mortality</v>
      </c>
      <c r="AV50" s="102" t="s">
        <v>459</v>
      </c>
      <c r="AW50" s="70">
        <f>M50</f>
        <v>7</v>
      </c>
      <c r="AX50" s="102" t="s">
        <v>460</v>
      </c>
      <c r="AY50" s="102"/>
      <c r="AZ50" s="82">
        <f t="shared" ref="AZ50:AZ51" si="36">AO50</f>
        <v>15.646082080172075</v>
      </c>
      <c r="BA50" s="118">
        <f>GEOMEAN(AZ50:AZ51)</f>
        <v>16.345951113171434</v>
      </c>
      <c r="BB50" s="119">
        <f>MIN(BA50)</f>
        <v>16.345951113171434</v>
      </c>
      <c r="BC50" s="109">
        <f>MIN(BB50)</f>
        <v>16.345951113171434</v>
      </c>
    </row>
    <row r="51" spans="1:95" ht="15" customHeight="1" x14ac:dyDescent="0.25">
      <c r="A51" s="19" t="s">
        <v>187</v>
      </c>
      <c r="B51" s="23">
        <v>226</v>
      </c>
      <c r="C51" s="10" t="s">
        <v>24</v>
      </c>
      <c r="D51" s="11" t="s">
        <v>183</v>
      </c>
      <c r="E51" s="9" t="s">
        <v>178</v>
      </c>
      <c r="F51" s="9" t="s">
        <v>179</v>
      </c>
      <c r="G51" s="9" t="s">
        <v>72</v>
      </c>
      <c r="H51" s="9" t="s">
        <v>572</v>
      </c>
      <c r="I51" s="12" t="s">
        <v>184</v>
      </c>
      <c r="J51" s="12" t="s">
        <v>53</v>
      </c>
      <c r="K51" s="12" t="s">
        <v>53</v>
      </c>
      <c r="L51" s="24" t="s">
        <v>112</v>
      </c>
      <c r="M51" s="9">
        <v>7</v>
      </c>
      <c r="N51" s="9" t="s">
        <v>55</v>
      </c>
      <c r="O51" s="9" t="s">
        <v>33</v>
      </c>
      <c r="P51" s="25" t="s">
        <v>185</v>
      </c>
      <c r="Q51" s="14" t="s">
        <v>900</v>
      </c>
      <c r="R51" s="23" t="s">
        <v>37</v>
      </c>
      <c r="S51" s="23" t="s">
        <v>37</v>
      </c>
      <c r="T51" s="23">
        <v>58.9</v>
      </c>
      <c r="U51" s="23">
        <v>28</v>
      </c>
      <c r="V51" s="23">
        <v>28</v>
      </c>
      <c r="W51" s="23" t="s">
        <v>186</v>
      </c>
      <c r="X51" s="23">
        <v>7.72</v>
      </c>
      <c r="Y51" s="23">
        <v>3.5409999999999999</v>
      </c>
      <c r="Z51" s="23" t="s">
        <v>37</v>
      </c>
      <c r="AA51" s="23">
        <v>1790</v>
      </c>
      <c r="AB51" s="9">
        <v>1790</v>
      </c>
      <c r="AC51" s="27">
        <f t="shared" si="35"/>
        <v>50.550691894944933</v>
      </c>
      <c r="AD51" s="15">
        <f t="shared" si="23"/>
        <v>85.385630864353701</v>
      </c>
      <c r="AE51" s="15">
        <f>AD51</f>
        <v>85.385630864353701</v>
      </c>
      <c r="AG51" s="16">
        <f t="shared" si="24"/>
        <v>0.92896638677993626</v>
      </c>
      <c r="AH51" s="26">
        <f t="shared" si="25"/>
        <v>1.0764652136298349</v>
      </c>
      <c r="AJ51" s="85" t="str">
        <f t="shared" si="26"/>
        <v>LC50</v>
      </c>
      <c r="AK51" s="9">
        <f t="shared" si="9"/>
        <v>5</v>
      </c>
      <c r="AL51" s="18">
        <f t="shared" si="27"/>
        <v>17.077126172870742</v>
      </c>
      <c r="AM51" s="88" t="str">
        <f t="shared" si="28"/>
        <v>Chronic</v>
      </c>
      <c r="AN51" s="9">
        <f t="shared" si="10"/>
        <v>1</v>
      </c>
      <c r="AO51" s="18">
        <f t="shared" si="11"/>
        <v>17.077126172870742</v>
      </c>
      <c r="AP51" s="16"/>
      <c r="AQ51" s="132" t="str">
        <f t="shared" si="29"/>
        <v>LC50</v>
      </c>
      <c r="AR51" s="67" t="s">
        <v>463</v>
      </c>
      <c r="AS51" s="88" t="str">
        <f t="shared" si="30"/>
        <v>Chronic</v>
      </c>
      <c r="AT51" s="67" t="str">
        <f t="shared" si="14"/>
        <v>y</v>
      </c>
      <c r="AU51" s="69" t="str">
        <f>K51</f>
        <v>Mortality</v>
      </c>
      <c r="AV51" s="67" t="s">
        <v>459</v>
      </c>
      <c r="AW51" s="70">
        <f>M51</f>
        <v>7</v>
      </c>
      <c r="AX51" s="67" t="s">
        <v>460</v>
      </c>
      <c r="AY51" s="67"/>
      <c r="AZ51" s="82">
        <f t="shared" si="36"/>
        <v>17.077126172870742</v>
      </c>
      <c r="BA51" s="81"/>
      <c r="BB51" s="73"/>
      <c r="BC51" s="133"/>
    </row>
    <row r="52" spans="1:95" ht="16" x14ac:dyDescent="0.25">
      <c r="A52" s="32" t="s">
        <v>188</v>
      </c>
      <c r="B52" s="44">
        <v>227</v>
      </c>
      <c r="C52" s="34" t="s">
        <v>24</v>
      </c>
      <c r="D52" s="35" t="s">
        <v>189</v>
      </c>
      <c r="E52" s="33" t="s">
        <v>178</v>
      </c>
      <c r="F52" s="33" t="s">
        <v>179</v>
      </c>
      <c r="G52" s="33" t="s">
        <v>72</v>
      </c>
      <c r="H52" s="33" t="s">
        <v>572</v>
      </c>
      <c r="I52" s="33" t="s">
        <v>190</v>
      </c>
      <c r="J52" s="36" t="s">
        <v>53</v>
      </c>
      <c r="K52" s="36" t="s">
        <v>53</v>
      </c>
      <c r="L52" s="36" t="s">
        <v>112</v>
      </c>
      <c r="M52" s="33">
        <v>30</v>
      </c>
      <c r="N52" s="33" t="s">
        <v>55</v>
      </c>
      <c r="O52" s="33" t="s">
        <v>33</v>
      </c>
      <c r="P52" s="38" t="s">
        <v>191</v>
      </c>
      <c r="Q52" s="38" t="s">
        <v>900</v>
      </c>
      <c r="R52" s="33" t="s">
        <v>915</v>
      </c>
      <c r="S52" s="33" t="s">
        <v>37</v>
      </c>
      <c r="T52" s="33">
        <v>51</v>
      </c>
      <c r="U52" s="33" t="s">
        <v>192</v>
      </c>
      <c r="V52" s="33">
        <v>22.3</v>
      </c>
      <c r="W52" s="33" t="s">
        <v>193</v>
      </c>
      <c r="X52" s="33">
        <v>9.5</v>
      </c>
      <c r="Y52" s="33">
        <v>59.66</v>
      </c>
      <c r="Z52" s="33" t="s">
        <v>37</v>
      </c>
      <c r="AA52" s="33">
        <v>450</v>
      </c>
      <c r="AB52" s="33">
        <v>450</v>
      </c>
      <c r="AC52" s="40">
        <f t="shared" si="35"/>
        <v>0.7542742205833054</v>
      </c>
      <c r="AD52" s="40">
        <f t="shared" si="23"/>
        <v>16.545339294489416</v>
      </c>
      <c r="AE52" s="40">
        <f t="shared" ref="AE52:AE53" si="37">AD52</f>
        <v>16.545339294489416</v>
      </c>
      <c r="AG52" s="16">
        <f t="shared" si="24"/>
        <v>1.5417004529495579E-2</v>
      </c>
      <c r="AH52" s="26">
        <f t="shared" si="25"/>
        <v>64.8634433548239</v>
      </c>
      <c r="AJ52" s="85" t="str">
        <f t="shared" si="26"/>
        <v>LC50</v>
      </c>
      <c r="AK52" s="9">
        <f t="shared" si="9"/>
        <v>5</v>
      </c>
      <c r="AL52" s="18">
        <f t="shared" si="27"/>
        <v>3.3090678588978832</v>
      </c>
      <c r="AM52" s="88" t="str">
        <f t="shared" si="28"/>
        <v>Chronic</v>
      </c>
      <c r="AN52" s="9">
        <f t="shared" si="10"/>
        <v>1</v>
      </c>
      <c r="AO52" s="18">
        <f t="shared" si="11"/>
        <v>3.3090678588978832</v>
      </c>
      <c r="AP52" s="16"/>
      <c r="AQ52" s="101" t="str">
        <f t="shared" si="29"/>
        <v>LC50</v>
      </c>
      <c r="AR52" s="102" t="s">
        <v>463</v>
      </c>
      <c r="AS52" s="103" t="str">
        <f t="shared" si="30"/>
        <v>Chronic</v>
      </c>
      <c r="AT52" s="102" t="str">
        <f t="shared" si="14"/>
        <v>y</v>
      </c>
      <c r="AU52" s="139" t="s">
        <v>466</v>
      </c>
      <c r="AV52" s="102"/>
      <c r="AW52" s="105"/>
      <c r="AX52" s="102"/>
      <c r="AY52" s="102"/>
      <c r="AZ52" s="106"/>
      <c r="BA52" s="107"/>
      <c r="BB52" s="119"/>
      <c r="BC52" s="109"/>
    </row>
    <row r="53" spans="1:95" ht="16" x14ac:dyDescent="0.25">
      <c r="A53" s="32" t="s">
        <v>194</v>
      </c>
      <c r="B53" s="44">
        <v>227</v>
      </c>
      <c r="C53" s="34" t="s">
        <v>24</v>
      </c>
      <c r="D53" s="35" t="s">
        <v>189</v>
      </c>
      <c r="E53" s="33" t="s">
        <v>178</v>
      </c>
      <c r="F53" s="33" t="s">
        <v>179</v>
      </c>
      <c r="G53" s="33" t="s">
        <v>72</v>
      </c>
      <c r="H53" s="33" t="s">
        <v>572</v>
      </c>
      <c r="I53" s="33" t="s">
        <v>190</v>
      </c>
      <c r="J53" s="33" t="s">
        <v>53</v>
      </c>
      <c r="K53" s="44" t="s">
        <v>53</v>
      </c>
      <c r="L53" s="36" t="s">
        <v>54</v>
      </c>
      <c r="M53" s="33">
        <v>30</v>
      </c>
      <c r="N53" s="33" t="s">
        <v>55</v>
      </c>
      <c r="O53" s="33" t="s">
        <v>33</v>
      </c>
      <c r="P53" s="45" t="s">
        <v>191</v>
      </c>
      <c r="Q53" s="38" t="s">
        <v>900</v>
      </c>
      <c r="R53" s="33" t="s">
        <v>915</v>
      </c>
      <c r="S53" s="33" t="s">
        <v>37</v>
      </c>
      <c r="T53" s="33">
        <v>51</v>
      </c>
      <c r="U53" s="33" t="s">
        <v>192</v>
      </c>
      <c r="V53" s="33">
        <v>22.3</v>
      </c>
      <c r="W53" s="33" t="s">
        <v>193</v>
      </c>
      <c r="X53" s="33">
        <v>9.5</v>
      </c>
      <c r="Y53" s="44">
        <v>59.66</v>
      </c>
      <c r="Z53" s="44">
        <v>0.64</v>
      </c>
      <c r="AA53" s="44">
        <v>370</v>
      </c>
      <c r="AB53" s="33">
        <v>370</v>
      </c>
      <c r="AC53" s="44">
        <v>0.64</v>
      </c>
      <c r="AD53" s="40">
        <f t="shared" si="23"/>
        <v>14.038683623953615</v>
      </c>
      <c r="AE53" s="40">
        <f t="shared" si="37"/>
        <v>14.038683623953615</v>
      </c>
      <c r="AG53" s="16">
        <f t="shared" si="24"/>
        <v>1.5417004529495579E-2</v>
      </c>
      <c r="AH53" s="26">
        <f t="shared" si="25"/>
        <v>64.8634433548239</v>
      </c>
      <c r="AJ53" s="85" t="str">
        <f t="shared" si="26"/>
        <v>NOEC</v>
      </c>
      <c r="AK53" s="9">
        <f t="shared" si="9"/>
        <v>1</v>
      </c>
      <c r="AL53" s="18">
        <f t="shared" si="27"/>
        <v>14.038683623953615</v>
      </c>
      <c r="AM53" s="88" t="str">
        <f t="shared" si="28"/>
        <v>Chronic</v>
      </c>
      <c r="AN53" s="9">
        <f t="shared" si="10"/>
        <v>1</v>
      </c>
      <c r="AO53" s="18">
        <f t="shared" si="11"/>
        <v>14.038683623953615</v>
      </c>
      <c r="AP53" s="16"/>
      <c r="AQ53" s="132" t="str">
        <f t="shared" si="29"/>
        <v>NOEC</v>
      </c>
      <c r="AR53" s="67" t="s">
        <v>356</v>
      </c>
      <c r="AS53" s="88" t="str">
        <f t="shared" si="30"/>
        <v>Chronic</v>
      </c>
      <c r="AT53" s="67" t="str">
        <f t="shared" si="14"/>
        <v>y</v>
      </c>
      <c r="AU53" s="69" t="str">
        <f>K53</f>
        <v>Mortality</v>
      </c>
      <c r="AV53" s="67" t="s">
        <v>459</v>
      </c>
      <c r="AW53" s="70">
        <f>M53</f>
        <v>30</v>
      </c>
      <c r="AX53" s="67" t="s">
        <v>460</v>
      </c>
      <c r="AY53" s="67"/>
      <c r="AZ53" s="82">
        <f t="shared" ref="AZ53:AZ63" si="38">AO53</f>
        <v>14.038683623953615</v>
      </c>
      <c r="BA53" s="72">
        <f t="shared" ref="BA53:BA65" si="39">GEOMEAN(AZ53:AZ53)</f>
        <v>14.038683623953615</v>
      </c>
      <c r="BB53" s="73">
        <f>MIN(BA53)</f>
        <v>14.038683623953615</v>
      </c>
      <c r="BC53" s="133">
        <f>MIN(BB53)</f>
        <v>14.038683623953615</v>
      </c>
    </row>
    <row r="54" spans="1:95" ht="15" customHeight="1" x14ac:dyDescent="0.25">
      <c r="A54" s="19" t="s">
        <v>195</v>
      </c>
      <c r="B54" s="23">
        <v>225</v>
      </c>
      <c r="C54" s="10" t="s">
        <v>24</v>
      </c>
      <c r="D54" s="11" t="s">
        <v>196</v>
      </c>
      <c r="E54" s="9" t="s">
        <v>178</v>
      </c>
      <c r="F54" s="9" t="s">
        <v>179</v>
      </c>
      <c r="G54" s="9" t="s">
        <v>72</v>
      </c>
      <c r="H54" s="9" t="s">
        <v>572</v>
      </c>
      <c r="I54" s="9" t="s">
        <v>197</v>
      </c>
      <c r="J54" s="12" t="s">
        <v>198</v>
      </c>
      <c r="K54" s="12" t="s">
        <v>199</v>
      </c>
      <c r="L54" s="12" t="s">
        <v>200</v>
      </c>
      <c r="M54" s="12" t="s">
        <v>201</v>
      </c>
      <c r="N54" s="9" t="s">
        <v>55</v>
      </c>
      <c r="O54" s="9" t="s">
        <v>33</v>
      </c>
      <c r="P54" s="14" t="s">
        <v>181</v>
      </c>
      <c r="Q54" s="14" t="s">
        <v>900</v>
      </c>
      <c r="R54" s="9" t="s">
        <v>37</v>
      </c>
      <c r="S54" s="9" t="s">
        <v>37</v>
      </c>
      <c r="T54" s="9" t="s">
        <v>916</v>
      </c>
      <c r="U54" s="23" t="s">
        <v>202</v>
      </c>
      <c r="V54" s="23">
        <v>8.6</v>
      </c>
      <c r="W54" s="9" t="s">
        <v>203</v>
      </c>
      <c r="X54" s="9">
        <v>7.6</v>
      </c>
      <c r="Y54" s="9">
        <v>0.65700000000000003</v>
      </c>
      <c r="Z54" s="9">
        <v>43.2</v>
      </c>
      <c r="AA54" s="9" t="s">
        <v>37</v>
      </c>
      <c r="AB54" s="9">
        <v>284</v>
      </c>
      <c r="AC54" s="9">
        <v>43.2</v>
      </c>
      <c r="AD54" s="15">
        <f t="shared" si="23"/>
        <v>64.214299055257541</v>
      </c>
      <c r="AE54" s="15">
        <f t="shared" ref="AE54:AE58" si="40">AD54</f>
        <v>64.214299055257541</v>
      </c>
      <c r="AG54" s="16">
        <f t="shared" si="24"/>
        <v>1.2246161992650491</v>
      </c>
      <c r="AH54" s="26">
        <f t="shared" si="25"/>
        <v>0.81658237135859213</v>
      </c>
      <c r="AJ54" s="85" t="str">
        <f t="shared" si="26"/>
        <v>EC20</v>
      </c>
      <c r="AK54" s="9">
        <f t="shared" si="9"/>
        <v>1</v>
      </c>
      <c r="AL54" s="18">
        <f t="shared" si="27"/>
        <v>64.214299055257541</v>
      </c>
      <c r="AM54" s="88" t="str">
        <f t="shared" si="28"/>
        <v>Chronic</v>
      </c>
      <c r="AN54" s="9">
        <f t="shared" si="10"/>
        <v>1</v>
      </c>
      <c r="AO54" s="18">
        <f t="shared" si="11"/>
        <v>64.214299055257541</v>
      </c>
      <c r="AP54" s="16"/>
      <c r="AQ54" s="101" t="str">
        <f t="shared" si="29"/>
        <v>EC20</v>
      </c>
      <c r="AR54" s="102" t="s">
        <v>356</v>
      </c>
      <c r="AS54" s="103" t="str">
        <f t="shared" si="30"/>
        <v>Chronic</v>
      </c>
      <c r="AT54" s="102" t="str">
        <f t="shared" si="14"/>
        <v>y</v>
      </c>
      <c r="AU54" s="104" t="str">
        <f>K54</f>
        <v>Mortality (Hatching success to surviving larvae)</v>
      </c>
      <c r="AV54" s="102" t="s">
        <v>459</v>
      </c>
      <c r="AW54" s="105" t="str">
        <f>M54</f>
        <v>15-20</v>
      </c>
      <c r="AX54" s="102" t="s">
        <v>460</v>
      </c>
      <c r="AY54" s="102"/>
      <c r="AZ54" s="147">
        <f t="shared" si="38"/>
        <v>64.214299055257541</v>
      </c>
      <c r="BA54" s="118">
        <f t="shared" si="39"/>
        <v>64.214299055257541</v>
      </c>
      <c r="BB54" s="119">
        <f>MIN(BA54)</f>
        <v>64.214299055257541</v>
      </c>
      <c r="BC54" s="109"/>
    </row>
    <row r="55" spans="1:95" ht="15" customHeight="1" x14ac:dyDescent="0.25">
      <c r="A55" s="19" t="s">
        <v>204</v>
      </c>
      <c r="B55" s="23">
        <v>225</v>
      </c>
      <c r="C55" s="10" t="s">
        <v>24</v>
      </c>
      <c r="D55" s="11" t="s">
        <v>196</v>
      </c>
      <c r="E55" s="9" t="s">
        <v>178</v>
      </c>
      <c r="F55" s="9" t="s">
        <v>179</v>
      </c>
      <c r="G55" s="9" t="s">
        <v>72</v>
      </c>
      <c r="H55" s="9" t="s">
        <v>572</v>
      </c>
      <c r="I55" s="9" t="s">
        <v>197</v>
      </c>
      <c r="J55" s="12" t="s">
        <v>53</v>
      </c>
      <c r="K55" s="12" t="s">
        <v>53</v>
      </c>
      <c r="L55" s="12" t="s">
        <v>54</v>
      </c>
      <c r="M55" s="12">
        <v>52</v>
      </c>
      <c r="N55" s="9" t="s">
        <v>55</v>
      </c>
      <c r="O55" s="9" t="s">
        <v>33</v>
      </c>
      <c r="P55" s="14" t="s">
        <v>181</v>
      </c>
      <c r="Q55" s="14" t="s">
        <v>900</v>
      </c>
      <c r="R55" s="9" t="s">
        <v>37</v>
      </c>
      <c r="S55" s="9" t="s">
        <v>37</v>
      </c>
      <c r="T55" s="9" t="s">
        <v>916</v>
      </c>
      <c r="U55" s="23" t="s">
        <v>202</v>
      </c>
      <c r="V55" s="23">
        <v>8.6</v>
      </c>
      <c r="W55" s="9" t="s">
        <v>203</v>
      </c>
      <c r="X55" s="9">
        <v>7.6</v>
      </c>
      <c r="Y55" s="9">
        <v>0.65700000000000003</v>
      </c>
      <c r="Z55" s="9">
        <v>15.1</v>
      </c>
      <c r="AA55" s="9" t="s">
        <v>37</v>
      </c>
      <c r="AB55" s="9">
        <v>99.3</v>
      </c>
      <c r="AC55" s="9">
        <v>15.1</v>
      </c>
      <c r="AD55" s="15">
        <f t="shared" si="23"/>
        <v>22.445275827184926</v>
      </c>
      <c r="AE55" s="15">
        <f t="shared" si="40"/>
        <v>22.445275827184926</v>
      </c>
      <c r="AG55" s="16">
        <f t="shared" si="24"/>
        <v>1.2246161992650491</v>
      </c>
      <c r="AH55" s="26">
        <f t="shared" si="25"/>
        <v>0.81658237135859213</v>
      </c>
      <c r="AJ55" s="85" t="str">
        <f t="shared" si="26"/>
        <v>NOEC</v>
      </c>
      <c r="AK55" s="9">
        <f t="shared" si="9"/>
        <v>1</v>
      </c>
      <c r="AL55" s="18">
        <f t="shared" si="27"/>
        <v>22.445275827184926</v>
      </c>
      <c r="AM55" s="88" t="str">
        <f t="shared" si="28"/>
        <v>Chronic</v>
      </c>
      <c r="AN55" s="9">
        <f t="shared" si="10"/>
        <v>1</v>
      </c>
      <c r="AO55" s="18">
        <f t="shared" si="11"/>
        <v>22.445275827184926</v>
      </c>
      <c r="AP55" s="16"/>
      <c r="AQ55" s="132" t="str">
        <f t="shared" si="29"/>
        <v>NOEC</v>
      </c>
      <c r="AR55" s="67" t="s">
        <v>356</v>
      </c>
      <c r="AS55" s="88" t="str">
        <f t="shared" si="30"/>
        <v>Chronic</v>
      </c>
      <c r="AT55" s="67" t="str">
        <f t="shared" si="14"/>
        <v>y</v>
      </c>
      <c r="AU55" s="100" t="s">
        <v>517</v>
      </c>
      <c r="AV55" s="67"/>
      <c r="AW55" s="70"/>
      <c r="AX55" s="67"/>
      <c r="AY55" s="67"/>
      <c r="AZ55" s="82"/>
      <c r="BA55" s="72"/>
      <c r="BB55" s="73"/>
      <c r="BC55" s="133"/>
    </row>
    <row r="56" spans="1:95" ht="15" customHeight="1" x14ac:dyDescent="0.25">
      <c r="A56" s="19" t="s">
        <v>205</v>
      </c>
      <c r="B56" s="23">
        <v>225</v>
      </c>
      <c r="C56" s="10" t="s">
        <v>24</v>
      </c>
      <c r="D56" s="11" t="s">
        <v>196</v>
      </c>
      <c r="E56" s="9" t="s">
        <v>178</v>
      </c>
      <c r="F56" s="9" t="s">
        <v>179</v>
      </c>
      <c r="G56" s="9" t="s">
        <v>72</v>
      </c>
      <c r="H56" s="9" t="s">
        <v>572</v>
      </c>
      <c r="I56" s="9" t="s">
        <v>197</v>
      </c>
      <c r="J56" s="12" t="s">
        <v>53</v>
      </c>
      <c r="K56" s="12" t="s">
        <v>53</v>
      </c>
      <c r="L56" s="12" t="s">
        <v>206</v>
      </c>
      <c r="M56" s="12">
        <v>52</v>
      </c>
      <c r="N56" s="9" t="s">
        <v>55</v>
      </c>
      <c r="O56" s="9" t="s">
        <v>33</v>
      </c>
      <c r="P56" s="14" t="s">
        <v>181</v>
      </c>
      <c r="Q56" s="14" t="s">
        <v>900</v>
      </c>
      <c r="R56" s="9" t="s">
        <v>37</v>
      </c>
      <c r="S56" s="9" t="s">
        <v>37</v>
      </c>
      <c r="T56" s="9" t="s">
        <v>916</v>
      </c>
      <c r="U56" s="23" t="s">
        <v>202</v>
      </c>
      <c r="V56" s="23">
        <v>8.6</v>
      </c>
      <c r="W56" s="9" t="s">
        <v>203</v>
      </c>
      <c r="X56" s="9">
        <v>7.6</v>
      </c>
      <c r="Y56" s="9">
        <v>0.65700000000000003</v>
      </c>
      <c r="Z56" s="9">
        <v>20.6</v>
      </c>
      <c r="AA56" s="9" t="s">
        <v>37</v>
      </c>
      <c r="AB56" s="9">
        <v>135</v>
      </c>
      <c r="AC56" s="9">
        <v>20.6</v>
      </c>
      <c r="AD56" s="15">
        <f t="shared" si="23"/>
        <v>30.620707419868182</v>
      </c>
      <c r="AE56" s="15">
        <f t="shared" si="40"/>
        <v>30.620707419868182</v>
      </c>
      <c r="AG56" s="16">
        <f t="shared" si="24"/>
        <v>1.2246161992650491</v>
      </c>
      <c r="AH56" s="26">
        <f t="shared" si="25"/>
        <v>0.81658237135859213</v>
      </c>
      <c r="AJ56" s="85" t="str">
        <f t="shared" si="26"/>
        <v>LC20</v>
      </c>
      <c r="AK56" s="9">
        <f t="shared" si="9"/>
        <v>1</v>
      </c>
      <c r="AL56" s="18">
        <f t="shared" si="27"/>
        <v>30.620707419868182</v>
      </c>
      <c r="AM56" s="88" t="str">
        <f t="shared" si="28"/>
        <v>Chronic</v>
      </c>
      <c r="AN56" s="9">
        <f t="shared" si="10"/>
        <v>1</v>
      </c>
      <c r="AO56" s="18">
        <f t="shared" si="11"/>
        <v>30.620707419868182</v>
      </c>
      <c r="AP56" s="16"/>
      <c r="AQ56" s="132" t="str">
        <f t="shared" si="29"/>
        <v>LC20</v>
      </c>
      <c r="AR56" s="67" t="s">
        <v>356</v>
      </c>
      <c r="AS56" s="88" t="str">
        <f t="shared" si="30"/>
        <v>Chronic</v>
      </c>
      <c r="AT56" s="67" t="str">
        <f t="shared" si="14"/>
        <v>y</v>
      </c>
      <c r="AU56" s="69" t="str">
        <f>K56</f>
        <v>Mortality</v>
      </c>
      <c r="AV56" s="67" t="s">
        <v>473</v>
      </c>
      <c r="AW56" s="70">
        <f>M56</f>
        <v>52</v>
      </c>
      <c r="AX56" s="67" t="s">
        <v>474</v>
      </c>
      <c r="AY56" s="67"/>
      <c r="AZ56" s="82">
        <f t="shared" si="38"/>
        <v>30.620707419868182</v>
      </c>
      <c r="BA56" s="72">
        <f t="shared" si="39"/>
        <v>30.620707419868182</v>
      </c>
      <c r="BB56" s="73">
        <f>MIN(BA56)</f>
        <v>30.620707419868182</v>
      </c>
      <c r="BC56" s="133"/>
    </row>
    <row r="57" spans="1:95" ht="15" customHeight="1" x14ac:dyDescent="0.25">
      <c r="A57" s="19" t="s">
        <v>207</v>
      </c>
      <c r="B57" s="23">
        <v>225</v>
      </c>
      <c r="C57" s="10" t="s">
        <v>24</v>
      </c>
      <c r="D57" s="11" t="s">
        <v>196</v>
      </c>
      <c r="E57" s="9" t="s">
        <v>178</v>
      </c>
      <c r="F57" s="9" t="s">
        <v>179</v>
      </c>
      <c r="G57" s="9" t="s">
        <v>72</v>
      </c>
      <c r="H57" s="9" t="s">
        <v>572</v>
      </c>
      <c r="I57" s="9" t="s">
        <v>197</v>
      </c>
      <c r="J57" s="12" t="s">
        <v>208</v>
      </c>
      <c r="K57" s="12" t="s">
        <v>209</v>
      </c>
      <c r="L57" s="12" t="s">
        <v>54</v>
      </c>
      <c r="M57" s="12">
        <v>52</v>
      </c>
      <c r="N57" s="9" t="s">
        <v>55</v>
      </c>
      <c r="O57" s="9" t="s">
        <v>33</v>
      </c>
      <c r="P57" s="14" t="s">
        <v>181</v>
      </c>
      <c r="Q57" s="14" t="s">
        <v>900</v>
      </c>
      <c r="R57" s="9" t="s">
        <v>37</v>
      </c>
      <c r="S57" s="9" t="s">
        <v>37</v>
      </c>
      <c r="T57" s="9" t="s">
        <v>916</v>
      </c>
      <c r="U57" s="23" t="s">
        <v>202</v>
      </c>
      <c r="V57" s="23">
        <v>8.6</v>
      </c>
      <c r="W57" s="9" t="s">
        <v>203</v>
      </c>
      <c r="X57" s="9">
        <v>7.6</v>
      </c>
      <c r="Y57" s="9">
        <v>0.65700000000000003</v>
      </c>
      <c r="Z57" s="9">
        <v>7.71</v>
      </c>
      <c r="AA57" s="9" t="s">
        <v>37</v>
      </c>
      <c r="AB57" s="9">
        <v>50.7</v>
      </c>
      <c r="AC57" s="9">
        <v>7.71</v>
      </c>
      <c r="AD57" s="15">
        <f t="shared" si="23"/>
        <v>11.460468650834159</v>
      </c>
      <c r="AE57" s="15">
        <f t="shared" si="40"/>
        <v>11.460468650834159</v>
      </c>
      <c r="AG57" s="16">
        <f t="shared" si="24"/>
        <v>1.2246161992650491</v>
      </c>
      <c r="AH57" s="26">
        <f t="shared" si="25"/>
        <v>0.81658237135859213</v>
      </c>
      <c r="AJ57" s="85" t="str">
        <f t="shared" si="26"/>
        <v>NOEC</v>
      </c>
      <c r="AK57" s="9">
        <f t="shared" si="9"/>
        <v>1</v>
      </c>
      <c r="AL57" s="18">
        <f t="shared" si="27"/>
        <v>11.460468650834159</v>
      </c>
      <c r="AM57" s="88" t="str">
        <f t="shared" si="28"/>
        <v>Chronic</v>
      </c>
      <c r="AN57" s="9">
        <f t="shared" si="10"/>
        <v>1</v>
      </c>
      <c r="AO57" s="18">
        <f t="shared" si="11"/>
        <v>11.460468650834159</v>
      </c>
      <c r="AP57" s="16"/>
      <c r="AQ57" s="132" t="str">
        <f t="shared" si="29"/>
        <v>NOEC</v>
      </c>
      <c r="AR57" s="67" t="s">
        <v>356</v>
      </c>
      <c r="AS57" s="88" t="str">
        <f t="shared" si="30"/>
        <v>Chronic</v>
      </c>
      <c r="AT57" s="67" t="str">
        <f t="shared" si="14"/>
        <v>y</v>
      </c>
      <c r="AU57" s="100" t="s">
        <v>517</v>
      </c>
      <c r="AV57" s="67"/>
      <c r="AW57" s="70"/>
      <c r="AX57" s="67"/>
      <c r="AY57" s="67"/>
      <c r="AZ57" s="82"/>
      <c r="BA57" s="72"/>
      <c r="BB57" s="73"/>
      <c r="BC57" s="133"/>
    </row>
    <row r="58" spans="1:95" ht="15" customHeight="1" x14ac:dyDescent="0.25">
      <c r="A58" s="19" t="s">
        <v>210</v>
      </c>
      <c r="B58" s="23">
        <v>225</v>
      </c>
      <c r="C58" s="10" t="s">
        <v>24</v>
      </c>
      <c r="D58" s="11" t="s">
        <v>196</v>
      </c>
      <c r="E58" s="9" t="s">
        <v>178</v>
      </c>
      <c r="F58" s="9" t="s">
        <v>179</v>
      </c>
      <c r="G58" s="9" t="s">
        <v>72</v>
      </c>
      <c r="H58" s="9" t="s">
        <v>572</v>
      </c>
      <c r="I58" s="9" t="s">
        <v>197</v>
      </c>
      <c r="J58" s="12" t="s">
        <v>208</v>
      </c>
      <c r="K58" s="12" t="s">
        <v>209</v>
      </c>
      <c r="L58" s="12" t="s">
        <v>200</v>
      </c>
      <c r="M58" s="12">
        <v>52</v>
      </c>
      <c r="N58" s="9" t="s">
        <v>55</v>
      </c>
      <c r="O58" s="9" t="s">
        <v>33</v>
      </c>
      <c r="P58" s="14" t="s">
        <v>181</v>
      </c>
      <c r="Q58" s="14" t="s">
        <v>900</v>
      </c>
      <c r="R58" s="9" t="s">
        <v>37</v>
      </c>
      <c r="S58" s="9" t="s">
        <v>37</v>
      </c>
      <c r="T58" s="9" t="s">
        <v>916</v>
      </c>
      <c r="U58" s="23" t="s">
        <v>202</v>
      </c>
      <c r="V58" s="23">
        <v>8.6</v>
      </c>
      <c r="W58" s="9" t="s">
        <v>203</v>
      </c>
      <c r="X58" s="9">
        <v>7.6</v>
      </c>
      <c r="Y58" s="9">
        <v>0.65700000000000003</v>
      </c>
      <c r="Z58" s="9">
        <v>13.21</v>
      </c>
      <c r="AA58" s="9" t="s">
        <v>37</v>
      </c>
      <c r="AB58" s="9">
        <v>86.8</v>
      </c>
      <c r="AC58" s="9">
        <v>13.21</v>
      </c>
      <c r="AD58" s="15">
        <f t="shared" si="23"/>
        <v>19.635900243517412</v>
      </c>
      <c r="AE58" s="15">
        <f t="shared" si="40"/>
        <v>19.635900243517412</v>
      </c>
      <c r="AG58" s="16">
        <f t="shared" si="24"/>
        <v>1.2246161992650491</v>
      </c>
      <c r="AH58" s="26">
        <f t="shared" si="25"/>
        <v>0.81658237135859213</v>
      </c>
      <c r="AJ58" s="85" t="str">
        <f t="shared" si="26"/>
        <v>EC20</v>
      </c>
      <c r="AK58" s="9">
        <f t="shared" si="9"/>
        <v>1</v>
      </c>
      <c r="AL58" s="18">
        <f t="shared" si="27"/>
        <v>19.635900243517412</v>
      </c>
      <c r="AM58" s="88" t="str">
        <f t="shared" si="28"/>
        <v>Chronic</v>
      </c>
      <c r="AN58" s="9">
        <f t="shared" si="10"/>
        <v>1</v>
      </c>
      <c r="AO58" s="18">
        <f t="shared" si="11"/>
        <v>19.635900243517412</v>
      </c>
      <c r="AP58" s="16"/>
      <c r="AQ58" s="132" t="str">
        <f t="shared" si="29"/>
        <v>EC20</v>
      </c>
      <c r="AR58" s="67" t="s">
        <v>356</v>
      </c>
      <c r="AS58" s="88" t="str">
        <f t="shared" si="30"/>
        <v>Chronic</v>
      </c>
      <c r="AT58" s="67" t="str">
        <f t="shared" si="14"/>
        <v>y</v>
      </c>
      <c r="AU58" s="69" t="str">
        <f t="shared" ref="AU58:AU95" si="41">K58</f>
        <v>Biomass (Weight)</v>
      </c>
      <c r="AV58" s="67" t="s">
        <v>475</v>
      </c>
      <c r="AW58" s="70">
        <f t="shared" ref="AW58:AW95" si="42">M58</f>
        <v>52</v>
      </c>
      <c r="AX58" s="67" t="s">
        <v>476</v>
      </c>
      <c r="AY58" s="67"/>
      <c r="AZ58" s="82">
        <f t="shared" si="38"/>
        <v>19.635900243517412</v>
      </c>
      <c r="BA58" s="72">
        <f t="shared" si="39"/>
        <v>19.635900243517412</v>
      </c>
      <c r="BB58" s="73">
        <f>MIN(BA58)</f>
        <v>19.635900243517412</v>
      </c>
      <c r="BC58" s="194">
        <f>MIN(BB54:BB59)</f>
        <v>19.635900243517412</v>
      </c>
    </row>
    <row r="59" spans="1:95" ht="31" x14ac:dyDescent="0.25">
      <c r="A59" s="19" t="s">
        <v>211</v>
      </c>
      <c r="B59" s="23">
        <v>225</v>
      </c>
      <c r="C59" s="10" t="s">
        <v>24</v>
      </c>
      <c r="D59" s="11" t="s">
        <v>196</v>
      </c>
      <c r="E59" s="9" t="s">
        <v>178</v>
      </c>
      <c r="F59" s="9" t="s">
        <v>179</v>
      </c>
      <c r="G59" s="9" t="s">
        <v>72</v>
      </c>
      <c r="H59" s="9" t="s">
        <v>572</v>
      </c>
      <c r="I59" s="9" t="s">
        <v>197</v>
      </c>
      <c r="J59" s="12" t="s">
        <v>208</v>
      </c>
      <c r="K59" s="12" t="s">
        <v>212</v>
      </c>
      <c r="L59" s="12" t="s">
        <v>200</v>
      </c>
      <c r="M59" s="12">
        <v>52</v>
      </c>
      <c r="N59" s="9" t="s">
        <v>55</v>
      </c>
      <c r="O59" s="9" t="s">
        <v>33</v>
      </c>
      <c r="P59" s="14" t="s">
        <v>181</v>
      </c>
      <c r="Q59" s="14" t="s">
        <v>900</v>
      </c>
      <c r="R59" s="9" t="s">
        <v>37</v>
      </c>
      <c r="S59" s="9" t="s">
        <v>37</v>
      </c>
      <c r="T59" s="9" t="s">
        <v>916</v>
      </c>
      <c r="U59" s="23" t="s">
        <v>202</v>
      </c>
      <c r="V59" s="23">
        <v>8.6</v>
      </c>
      <c r="W59" s="9" t="s">
        <v>203</v>
      </c>
      <c r="X59" s="9">
        <v>7.6</v>
      </c>
      <c r="Y59" s="9">
        <v>0.65700000000000003</v>
      </c>
      <c r="Z59" s="9">
        <v>13.4</v>
      </c>
      <c r="AA59" s="9" t="s">
        <v>37</v>
      </c>
      <c r="AB59" s="9">
        <v>88.1</v>
      </c>
      <c r="AC59" s="9">
        <v>13.4</v>
      </c>
      <c r="AD59" s="15">
        <f t="shared" si="23"/>
        <v>19.918324243991922</v>
      </c>
      <c r="AE59" s="15">
        <f>AD59</f>
        <v>19.918324243991922</v>
      </c>
      <c r="AG59" s="16">
        <f t="shared" si="24"/>
        <v>1.2246161992650491</v>
      </c>
      <c r="AH59" s="26">
        <f t="shared" si="25"/>
        <v>0.81658237135859213</v>
      </c>
      <c r="AJ59" s="85" t="str">
        <f t="shared" si="26"/>
        <v>EC20</v>
      </c>
      <c r="AK59" s="9">
        <f t="shared" si="9"/>
        <v>1</v>
      </c>
      <c r="AL59" s="18">
        <f t="shared" si="27"/>
        <v>19.918324243991922</v>
      </c>
      <c r="AM59" s="88" t="str">
        <f t="shared" si="28"/>
        <v>Chronic</v>
      </c>
      <c r="AN59" s="9">
        <f t="shared" si="10"/>
        <v>1</v>
      </c>
      <c r="AO59" s="18">
        <f t="shared" si="11"/>
        <v>19.918324243991922</v>
      </c>
      <c r="AP59" s="16"/>
      <c r="AQ59" s="110" t="str">
        <f t="shared" si="29"/>
        <v>EC20</v>
      </c>
      <c r="AR59" s="111" t="s">
        <v>356</v>
      </c>
      <c r="AS59" s="112" t="str">
        <f t="shared" si="30"/>
        <v>Chronic</v>
      </c>
      <c r="AT59" s="111" t="str">
        <f t="shared" si="14"/>
        <v>y</v>
      </c>
      <c r="AU59" s="134" t="str">
        <f t="shared" si="41"/>
        <v xml:space="preserve">Biomass (total weight of fish at end of test divide by number of larvae at the beginning) </v>
      </c>
      <c r="AV59" s="111" t="s">
        <v>55</v>
      </c>
      <c r="AW59" s="114">
        <f t="shared" si="42"/>
        <v>52</v>
      </c>
      <c r="AX59" s="111" t="s">
        <v>477</v>
      </c>
      <c r="AY59" s="111"/>
      <c r="AZ59" s="138">
        <f t="shared" si="38"/>
        <v>19.918324243991922</v>
      </c>
      <c r="BA59" s="140">
        <f t="shared" si="39"/>
        <v>19.918324243991922</v>
      </c>
      <c r="BB59" s="141">
        <f>MIN(BA59)</f>
        <v>19.918324243991922</v>
      </c>
      <c r="BC59" s="137"/>
    </row>
    <row r="60" spans="1:95" ht="15" customHeight="1" x14ac:dyDescent="0.25">
      <c r="A60" s="32" t="s">
        <v>213</v>
      </c>
      <c r="B60" s="33">
        <v>239</v>
      </c>
      <c r="C60" s="34" t="s">
        <v>24</v>
      </c>
      <c r="D60" s="35" t="s">
        <v>214</v>
      </c>
      <c r="E60" s="33" t="s">
        <v>178</v>
      </c>
      <c r="F60" s="33" t="s">
        <v>179</v>
      </c>
      <c r="G60" s="33" t="s">
        <v>52</v>
      </c>
      <c r="H60" s="33" t="s">
        <v>572</v>
      </c>
      <c r="I60" s="36" t="s">
        <v>128</v>
      </c>
      <c r="J60" s="36" t="s">
        <v>53</v>
      </c>
      <c r="K60" s="36" t="s">
        <v>53</v>
      </c>
      <c r="L60" s="36" t="s">
        <v>54</v>
      </c>
      <c r="M60" s="36">
        <v>31</v>
      </c>
      <c r="N60" s="33" t="s">
        <v>55</v>
      </c>
      <c r="O60" s="37" t="s">
        <v>33</v>
      </c>
      <c r="P60" s="38" t="s">
        <v>215</v>
      </c>
      <c r="Q60" s="38" t="s">
        <v>900</v>
      </c>
      <c r="R60" s="33" t="s">
        <v>917</v>
      </c>
      <c r="S60" s="33" t="s">
        <v>37</v>
      </c>
      <c r="T60" s="33">
        <v>161</v>
      </c>
      <c r="U60" s="33" t="s">
        <v>216</v>
      </c>
      <c r="V60" s="33">
        <v>27.9</v>
      </c>
      <c r="W60" s="33" t="s">
        <v>217</v>
      </c>
      <c r="X60" s="33">
        <v>8.3699999999999992</v>
      </c>
      <c r="Y60" s="33">
        <v>14.005000000000001</v>
      </c>
      <c r="Z60" s="33" t="s">
        <v>37</v>
      </c>
      <c r="AA60" s="33">
        <v>779</v>
      </c>
      <c r="AB60" s="33">
        <v>779</v>
      </c>
      <c r="AC60" s="40">
        <f t="shared" ref="AC60:AC64" si="43">AB60/((Y60/100)*1000)</f>
        <v>5.5622991788646905</v>
      </c>
      <c r="AD60" s="40">
        <f t="shared" si="23"/>
        <v>24.235742601192726</v>
      </c>
      <c r="AE60" s="40">
        <f t="shared" ref="AE60:AE63" si="44">AD60</f>
        <v>24.235742601192726</v>
      </c>
      <c r="AG60" s="16">
        <f t="shared" si="24"/>
        <v>0.20796966871036979</v>
      </c>
      <c r="AH60" s="26">
        <f t="shared" si="25"/>
        <v>4.8083934844972802</v>
      </c>
      <c r="AJ60" s="85" t="str">
        <f t="shared" si="26"/>
        <v>NOEC</v>
      </c>
      <c r="AK60" s="9">
        <f t="shared" si="9"/>
        <v>1</v>
      </c>
      <c r="AL60" s="18">
        <f t="shared" si="27"/>
        <v>24.235742601192726</v>
      </c>
      <c r="AM60" s="88" t="str">
        <f t="shared" si="28"/>
        <v>Chronic</v>
      </c>
      <c r="AN60" s="9">
        <f t="shared" si="10"/>
        <v>1</v>
      </c>
      <c r="AO60" s="18">
        <f t="shared" si="11"/>
        <v>24.235742601192726</v>
      </c>
      <c r="AP60" s="16"/>
      <c r="AQ60" s="132" t="str">
        <f t="shared" si="29"/>
        <v>NOEC</v>
      </c>
      <c r="AR60" s="67" t="s">
        <v>356</v>
      </c>
      <c r="AS60" s="88" t="str">
        <f t="shared" si="30"/>
        <v>Chronic</v>
      </c>
      <c r="AT60" s="67" t="str">
        <f t="shared" si="14"/>
        <v>y</v>
      </c>
      <c r="AU60" s="69" t="str">
        <f t="shared" si="41"/>
        <v>Mortality</v>
      </c>
      <c r="AV60" s="67" t="s">
        <v>459</v>
      </c>
      <c r="AW60" s="70">
        <f t="shared" si="42"/>
        <v>31</v>
      </c>
      <c r="AX60" s="67" t="s">
        <v>460</v>
      </c>
      <c r="AY60" s="67"/>
      <c r="AZ60" s="80">
        <f t="shared" si="38"/>
        <v>24.235742601192726</v>
      </c>
      <c r="BA60" s="81">
        <f t="shared" si="39"/>
        <v>24.235742601192726</v>
      </c>
      <c r="BB60" s="73">
        <f>MIN(BA60)</f>
        <v>24.235742601192726</v>
      </c>
      <c r="BC60" s="133"/>
    </row>
    <row r="61" spans="1:95" ht="16" x14ac:dyDescent="0.25">
      <c r="A61" s="32" t="s">
        <v>218</v>
      </c>
      <c r="B61" s="33">
        <v>239</v>
      </c>
      <c r="C61" s="34" t="s">
        <v>24</v>
      </c>
      <c r="D61" s="35" t="s">
        <v>214</v>
      </c>
      <c r="E61" s="33" t="s">
        <v>178</v>
      </c>
      <c r="F61" s="33" t="s">
        <v>179</v>
      </c>
      <c r="G61" s="33" t="s">
        <v>52</v>
      </c>
      <c r="H61" s="33" t="s">
        <v>572</v>
      </c>
      <c r="I61" s="36" t="s">
        <v>128</v>
      </c>
      <c r="J61" s="36" t="s">
        <v>219</v>
      </c>
      <c r="K61" s="36" t="s">
        <v>220</v>
      </c>
      <c r="L61" s="36" t="s">
        <v>54</v>
      </c>
      <c r="M61" s="36">
        <v>31</v>
      </c>
      <c r="N61" s="33" t="s">
        <v>55</v>
      </c>
      <c r="O61" s="37" t="s">
        <v>33</v>
      </c>
      <c r="P61" s="38" t="s">
        <v>215</v>
      </c>
      <c r="Q61" s="38" t="s">
        <v>900</v>
      </c>
      <c r="R61" s="33" t="s">
        <v>917</v>
      </c>
      <c r="S61" s="33" t="s">
        <v>37</v>
      </c>
      <c r="T61" s="33">
        <v>161</v>
      </c>
      <c r="U61" s="33" t="s">
        <v>216</v>
      </c>
      <c r="V61" s="33">
        <v>27.9</v>
      </c>
      <c r="W61" s="33" t="s">
        <v>217</v>
      </c>
      <c r="X61" s="33">
        <v>8.3699999999999992</v>
      </c>
      <c r="Y61" s="33">
        <v>14.005000000000001</v>
      </c>
      <c r="Z61" s="33" t="s">
        <v>956</v>
      </c>
      <c r="AA61" s="33" t="s">
        <v>958</v>
      </c>
      <c r="AB61" s="172">
        <v>217</v>
      </c>
      <c r="AC61" s="40">
        <v>1.6</v>
      </c>
      <c r="AD61" s="40">
        <f t="shared" si="23"/>
        <v>6.971431581611383</v>
      </c>
      <c r="AE61" s="40">
        <f t="shared" si="44"/>
        <v>6.971431581611383</v>
      </c>
      <c r="AF61" t="s">
        <v>577</v>
      </c>
      <c r="AG61" s="16">
        <f t="shared" si="24"/>
        <v>0.20796966871036979</v>
      </c>
      <c r="AH61" s="26">
        <f t="shared" si="25"/>
        <v>4.8083934844972802</v>
      </c>
      <c r="AJ61" s="85" t="str">
        <f t="shared" si="26"/>
        <v>NOEC</v>
      </c>
      <c r="AK61" s="9">
        <f t="shared" si="9"/>
        <v>1</v>
      </c>
      <c r="AL61" s="18">
        <f t="shared" si="27"/>
        <v>6.971431581611383</v>
      </c>
      <c r="AM61" s="88" t="str">
        <f t="shared" si="28"/>
        <v>Chronic</v>
      </c>
      <c r="AN61" s="9">
        <f t="shared" si="10"/>
        <v>1</v>
      </c>
      <c r="AO61" s="18">
        <f t="shared" si="11"/>
        <v>6.971431581611383</v>
      </c>
      <c r="AP61" s="16"/>
      <c r="AQ61" s="132" t="str">
        <f t="shared" si="29"/>
        <v>NOEC</v>
      </c>
      <c r="AR61" s="67" t="s">
        <v>356</v>
      </c>
      <c r="AS61" s="88" t="str">
        <f t="shared" si="30"/>
        <v>Chronic</v>
      </c>
      <c r="AT61" s="67" t="str">
        <f t="shared" si="14"/>
        <v>y</v>
      </c>
      <c r="AU61" s="69" t="str">
        <f t="shared" si="41"/>
        <v>Wet weight</v>
      </c>
      <c r="AV61" s="9" t="s">
        <v>473</v>
      </c>
      <c r="AW61" s="70">
        <f t="shared" si="42"/>
        <v>31</v>
      </c>
      <c r="AX61" s="9" t="s">
        <v>474</v>
      </c>
      <c r="AY61" s="16"/>
      <c r="AZ61" s="151">
        <f t="shared" si="38"/>
        <v>6.971431581611383</v>
      </c>
      <c r="BA61" s="95">
        <f t="shared" si="39"/>
        <v>6.971431581611383</v>
      </c>
      <c r="BB61" s="96">
        <f t="shared" ref="BB61:BB63" si="45">MIN(BA61)</f>
        <v>6.971431581611383</v>
      </c>
      <c r="BC61" s="146"/>
      <c r="BD61" t="s">
        <v>957</v>
      </c>
    </row>
    <row r="62" spans="1:95" ht="16" x14ac:dyDescent="0.25">
      <c r="A62" s="32" t="s">
        <v>221</v>
      </c>
      <c r="B62" s="33">
        <v>239</v>
      </c>
      <c r="C62" s="34" t="s">
        <v>24</v>
      </c>
      <c r="D62" s="35" t="s">
        <v>214</v>
      </c>
      <c r="E62" s="33" t="s">
        <v>178</v>
      </c>
      <c r="F62" s="33" t="s">
        <v>179</v>
      </c>
      <c r="G62" s="33" t="s">
        <v>52</v>
      </c>
      <c r="H62" s="33" t="s">
        <v>572</v>
      </c>
      <c r="I62" s="36" t="s">
        <v>128</v>
      </c>
      <c r="J62" s="36" t="s">
        <v>208</v>
      </c>
      <c r="K62" s="36" t="s">
        <v>222</v>
      </c>
      <c r="L62" s="36" t="s">
        <v>54</v>
      </c>
      <c r="M62" s="36">
        <v>31</v>
      </c>
      <c r="N62" s="33" t="s">
        <v>55</v>
      </c>
      <c r="O62" s="37" t="s">
        <v>33</v>
      </c>
      <c r="P62" s="38" t="s">
        <v>215</v>
      </c>
      <c r="Q62" s="38" t="s">
        <v>900</v>
      </c>
      <c r="R62" s="33" t="s">
        <v>917</v>
      </c>
      <c r="S62" s="33" t="s">
        <v>37</v>
      </c>
      <c r="T62" s="33">
        <v>161</v>
      </c>
      <c r="U62" s="33" t="s">
        <v>216</v>
      </c>
      <c r="V62" s="33">
        <v>27.9</v>
      </c>
      <c r="W62" s="33" t="s">
        <v>217</v>
      </c>
      <c r="X62" s="33">
        <v>8.3699999999999992</v>
      </c>
      <c r="Y62" s="33">
        <v>14.005000000000001</v>
      </c>
      <c r="Z62" s="33" t="s">
        <v>956</v>
      </c>
      <c r="AA62" s="33" t="s">
        <v>958</v>
      </c>
      <c r="AB62" s="172">
        <v>217</v>
      </c>
      <c r="AC62" s="40">
        <v>1.6</v>
      </c>
      <c r="AD62" s="40">
        <f t="shared" si="23"/>
        <v>6.971431581611383</v>
      </c>
      <c r="AE62" s="40">
        <f t="shared" si="44"/>
        <v>6.971431581611383</v>
      </c>
      <c r="AF62" t="s">
        <v>577</v>
      </c>
      <c r="AG62" s="16">
        <f t="shared" si="24"/>
        <v>0.20796966871036979</v>
      </c>
      <c r="AH62" s="26">
        <f t="shared" si="25"/>
        <v>4.8083934844972802</v>
      </c>
      <c r="AJ62" s="85" t="str">
        <f t="shared" si="26"/>
        <v>NOEC</v>
      </c>
      <c r="AK62" s="9">
        <f t="shared" si="9"/>
        <v>1</v>
      </c>
      <c r="AL62" s="18">
        <f t="shared" si="27"/>
        <v>6.971431581611383</v>
      </c>
      <c r="AM62" s="88" t="str">
        <f t="shared" si="28"/>
        <v>Chronic</v>
      </c>
      <c r="AN62" s="9">
        <f t="shared" si="10"/>
        <v>1</v>
      </c>
      <c r="AO62" s="18">
        <f t="shared" si="11"/>
        <v>6.971431581611383</v>
      </c>
      <c r="AP62" s="16"/>
      <c r="AQ62" s="132" t="str">
        <f t="shared" si="29"/>
        <v>NOEC</v>
      </c>
      <c r="AR62" s="67" t="s">
        <v>356</v>
      </c>
      <c r="AS62" s="88" t="str">
        <f t="shared" si="30"/>
        <v>Chronic</v>
      </c>
      <c r="AT62" s="67" t="str">
        <f t="shared" si="14"/>
        <v>y</v>
      </c>
      <c r="AU62" s="69" t="str">
        <f t="shared" si="41"/>
        <v>Dry weight</v>
      </c>
      <c r="AV62" s="67" t="s">
        <v>475</v>
      </c>
      <c r="AW62" s="70">
        <f t="shared" si="42"/>
        <v>31</v>
      </c>
      <c r="AX62" s="67" t="s">
        <v>476</v>
      </c>
      <c r="AY62" s="67"/>
      <c r="AZ62" s="151">
        <f t="shared" si="38"/>
        <v>6.971431581611383</v>
      </c>
      <c r="BA62" s="95">
        <f t="shared" si="39"/>
        <v>6.971431581611383</v>
      </c>
      <c r="BB62" s="96">
        <f t="shared" si="45"/>
        <v>6.971431581611383</v>
      </c>
      <c r="BC62" s="145"/>
    </row>
    <row r="63" spans="1:95" s="16" customFormat="1" ht="16" x14ac:dyDescent="0.25">
      <c r="A63" s="32" t="s">
        <v>223</v>
      </c>
      <c r="B63" s="33">
        <v>247</v>
      </c>
      <c r="C63" s="34" t="s">
        <v>24</v>
      </c>
      <c r="D63" s="35" t="s">
        <v>214</v>
      </c>
      <c r="E63" s="33" t="s">
        <v>178</v>
      </c>
      <c r="F63" s="33" t="s">
        <v>179</v>
      </c>
      <c r="G63" s="33" t="s">
        <v>52</v>
      </c>
      <c r="H63" s="33" t="s">
        <v>572</v>
      </c>
      <c r="I63" s="36" t="s">
        <v>224</v>
      </c>
      <c r="J63" s="36" t="s">
        <v>208</v>
      </c>
      <c r="K63" s="36" t="s">
        <v>225</v>
      </c>
      <c r="L63" s="36" t="s">
        <v>54</v>
      </c>
      <c r="M63" s="36">
        <v>30</v>
      </c>
      <c r="N63" s="33" t="s">
        <v>55</v>
      </c>
      <c r="O63" s="37" t="s">
        <v>33</v>
      </c>
      <c r="P63" s="38" t="s">
        <v>226</v>
      </c>
      <c r="Q63" s="38" t="s">
        <v>900</v>
      </c>
      <c r="R63" s="33" t="s">
        <v>918</v>
      </c>
      <c r="S63" s="33" t="s">
        <v>37</v>
      </c>
      <c r="T63" s="33">
        <v>300</v>
      </c>
      <c r="U63" s="33" t="s">
        <v>227</v>
      </c>
      <c r="V63" s="33">
        <v>27.3</v>
      </c>
      <c r="W63" s="33" t="s">
        <v>228</v>
      </c>
      <c r="X63" s="33">
        <v>7.77</v>
      </c>
      <c r="Y63" s="33">
        <v>3.7759999999999998</v>
      </c>
      <c r="Z63" s="33" t="s">
        <v>37</v>
      </c>
      <c r="AA63" s="33">
        <v>110</v>
      </c>
      <c r="AB63" s="33">
        <v>110</v>
      </c>
      <c r="AC63" s="40">
        <f t="shared" si="43"/>
        <v>2.9131355932203391</v>
      </c>
      <c r="AD63" s="40">
        <f t="shared" si="23"/>
        <v>5.2163664809438073</v>
      </c>
      <c r="AE63" s="40">
        <f t="shared" si="44"/>
        <v>5.2163664809438073</v>
      </c>
      <c r="AG63" s="16">
        <f t="shared" si="24"/>
        <v>0.82794216371233442</v>
      </c>
      <c r="AH63" s="26">
        <f t="shared" si="25"/>
        <v>1.2078138351067798</v>
      </c>
      <c r="AJ63" s="85" t="str">
        <f t="shared" si="26"/>
        <v>NOEC</v>
      </c>
      <c r="AK63" s="9">
        <f t="shared" si="9"/>
        <v>1</v>
      </c>
      <c r="AL63" s="18">
        <f t="shared" si="27"/>
        <v>5.2163664809438073</v>
      </c>
      <c r="AM63" s="88" t="str">
        <f t="shared" si="28"/>
        <v>Chronic</v>
      </c>
      <c r="AN63" s="9">
        <f t="shared" si="10"/>
        <v>1</v>
      </c>
      <c r="AO63" s="18">
        <f t="shared" si="11"/>
        <v>5.2163664809438073</v>
      </c>
      <c r="AQ63" s="110" t="str">
        <f t="shared" si="29"/>
        <v>NOEC</v>
      </c>
      <c r="AR63" s="111" t="s">
        <v>356</v>
      </c>
      <c r="AS63" s="112" t="str">
        <f t="shared" si="30"/>
        <v>Chronic</v>
      </c>
      <c r="AT63" s="111" t="str">
        <f t="shared" si="14"/>
        <v>y</v>
      </c>
      <c r="AU63" s="134" t="str">
        <f t="shared" si="41"/>
        <v>Biomass (final wet weight)</v>
      </c>
      <c r="AV63" s="111" t="s">
        <v>55</v>
      </c>
      <c r="AW63" s="114">
        <f t="shared" si="42"/>
        <v>30</v>
      </c>
      <c r="AX63" s="111" t="s">
        <v>477</v>
      </c>
      <c r="AY63" s="111"/>
      <c r="AZ63" s="138">
        <f t="shared" si="38"/>
        <v>5.2163664809438073</v>
      </c>
      <c r="BA63" s="140">
        <f t="shared" si="39"/>
        <v>5.2163664809438073</v>
      </c>
      <c r="BB63" s="141">
        <f t="shared" si="45"/>
        <v>5.2163664809438073</v>
      </c>
      <c r="BC63" s="150">
        <f>MIN(BB60:BB63)</f>
        <v>5.2163664809438073</v>
      </c>
      <c r="BD63"/>
      <c r="BE63"/>
      <c r="BF63"/>
      <c r="BG63"/>
      <c r="BH63"/>
      <c r="BI63"/>
    </row>
    <row r="64" spans="1:95" ht="16" x14ac:dyDescent="0.25">
      <c r="A64" s="19" t="s">
        <v>229</v>
      </c>
      <c r="B64" s="9">
        <v>244</v>
      </c>
      <c r="C64" s="10" t="s">
        <v>24</v>
      </c>
      <c r="D64" s="11" t="s">
        <v>230</v>
      </c>
      <c r="E64" s="9" t="s">
        <v>178</v>
      </c>
      <c r="F64" s="9" t="s">
        <v>179</v>
      </c>
      <c r="G64" s="9" t="s">
        <v>52</v>
      </c>
      <c r="H64" s="9" t="s">
        <v>572</v>
      </c>
      <c r="I64" s="12" t="s">
        <v>224</v>
      </c>
      <c r="J64" s="12" t="s">
        <v>208</v>
      </c>
      <c r="K64" s="12" t="s">
        <v>220</v>
      </c>
      <c r="L64" s="12" t="s">
        <v>54</v>
      </c>
      <c r="M64" s="12">
        <v>44</v>
      </c>
      <c r="N64" s="9" t="s">
        <v>55</v>
      </c>
      <c r="O64" s="13" t="s">
        <v>33</v>
      </c>
      <c r="P64" s="14" t="s">
        <v>231</v>
      </c>
      <c r="Q64" s="14" t="s">
        <v>900</v>
      </c>
      <c r="R64" s="9" t="s">
        <v>37</v>
      </c>
      <c r="S64" s="9" t="s">
        <v>37</v>
      </c>
      <c r="T64" s="9" t="s">
        <v>919</v>
      </c>
      <c r="U64" s="9" t="s">
        <v>232</v>
      </c>
      <c r="V64" s="9">
        <v>22</v>
      </c>
      <c r="W64" s="9" t="s">
        <v>233</v>
      </c>
      <c r="X64" s="9">
        <v>7.9</v>
      </c>
      <c r="Y64" s="9">
        <v>3.508</v>
      </c>
      <c r="Z64" s="9" t="s">
        <v>37</v>
      </c>
      <c r="AA64" s="9" t="s">
        <v>234</v>
      </c>
      <c r="AB64" s="9">
        <v>181</v>
      </c>
      <c r="AC64" s="15">
        <f t="shared" si="43"/>
        <v>5.1596351197263397</v>
      </c>
      <c r="AD64" s="15">
        <f t="shared" si="23"/>
        <v>10.899227815580682</v>
      </c>
      <c r="AE64" s="15">
        <f>AD64</f>
        <v>10.899227815580682</v>
      </c>
      <c r="AG64" s="16">
        <f t="shared" si="24"/>
        <v>0.61376200516479329</v>
      </c>
      <c r="AH64" s="26">
        <f t="shared" si="25"/>
        <v>1.6292960326397248</v>
      </c>
      <c r="AJ64" s="85" t="str">
        <f t="shared" si="26"/>
        <v>NOEC</v>
      </c>
      <c r="AK64" s="9">
        <f t="shared" si="9"/>
        <v>1</v>
      </c>
      <c r="AL64" s="18">
        <f t="shared" si="27"/>
        <v>10.899227815580682</v>
      </c>
      <c r="AM64" s="88" t="str">
        <f t="shared" si="28"/>
        <v>Chronic</v>
      </c>
      <c r="AN64" s="9">
        <f t="shared" si="10"/>
        <v>1</v>
      </c>
      <c r="AO64" s="18">
        <f t="shared" si="11"/>
        <v>10.899227815580682</v>
      </c>
      <c r="AP64" s="16"/>
      <c r="AQ64" s="127" t="str">
        <f t="shared" si="29"/>
        <v>NOEC</v>
      </c>
      <c r="AR64" s="128" t="s">
        <v>356</v>
      </c>
      <c r="AS64" s="129" t="str">
        <f t="shared" si="30"/>
        <v>Chronic</v>
      </c>
      <c r="AT64" s="128" t="str">
        <f t="shared" si="14"/>
        <v>y</v>
      </c>
      <c r="AU64" s="130" t="str">
        <f t="shared" si="41"/>
        <v>Wet weight</v>
      </c>
      <c r="AV64" s="128" t="s">
        <v>459</v>
      </c>
      <c r="AW64" s="131">
        <f t="shared" si="42"/>
        <v>44</v>
      </c>
      <c r="AX64" s="128" t="s">
        <v>460</v>
      </c>
      <c r="AY64" s="128"/>
      <c r="AZ64" s="143">
        <f>AO64</f>
        <v>10.899227815580682</v>
      </c>
      <c r="BA64" s="144">
        <f>GEOMEAN(AZ64)</f>
        <v>10.899227815580682</v>
      </c>
      <c r="BB64" s="148">
        <f>MIN(BA64)</f>
        <v>10.899227815580682</v>
      </c>
      <c r="BC64" s="195">
        <f>MIN(BB64)</f>
        <v>10.899227815580682</v>
      </c>
    </row>
    <row r="65" spans="1:61" ht="16" x14ac:dyDescent="0.25">
      <c r="A65" s="32" t="s">
        <v>235</v>
      </c>
      <c r="B65" s="33">
        <v>237</v>
      </c>
      <c r="C65" s="34" t="s">
        <v>24</v>
      </c>
      <c r="D65" s="35" t="s">
        <v>236</v>
      </c>
      <c r="E65" s="33" t="s">
        <v>178</v>
      </c>
      <c r="F65" s="33" t="s">
        <v>179</v>
      </c>
      <c r="G65" s="33" t="s">
        <v>52</v>
      </c>
      <c r="H65" s="33" t="s">
        <v>572</v>
      </c>
      <c r="I65" s="36" t="s">
        <v>224</v>
      </c>
      <c r="J65" s="36" t="s">
        <v>53</v>
      </c>
      <c r="K65" s="36" t="s">
        <v>53</v>
      </c>
      <c r="L65" s="36" t="s">
        <v>54</v>
      </c>
      <c r="M65" s="36">
        <v>7</v>
      </c>
      <c r="N65" s="33" t="s">
        <v>55</v>
      </c>
      <c r="O65" s="37" t="s">
        <v>33</v>
      </c>
      <c r="P65" s="38" t="s">
        <v>237</v>
      </c>
      <c r="Q65" s="38" t="s">
        <v>900</v>
      </c>
      <c r="R65" s="33" t="s">
        <v>37</v>
      </c>
      <c r="S65" s="33" t="s">
        <v>37</v>
      </c>
      <c r="T65" s="33" t="s">
        <v>920</v>
      </c>
      <c r="U65" s="33" t="s">
        <v>238</v>
      </c>
      <c r="V65" s="33">
        <v>22.3</v>
      </c>
      <c r="W65" s="33" t="s">
        <v>239</v>
      </c>
      <c r="X65" s="33">
        <v>8.68</v>
      </c>
      <c r="Y65" s="49">
        <v>18.290348329853874</v>
      </c>
      <c r="Z65" s="33">
        <v>3.16</v>
      </c>
      <c r="AA65" s="33">
        <v>865</v>
      </c>
      <c r="AB65" s="33">
        <v>865</v>
      </c>
      <c r="AC65" s="33">
        <v>3.16</v>
      </c>
      <c r="AD65" s="40">
        <f t="shared" si="23"/>
        <v>23.217165673473822</v>
      </c>
      <c r="AE65" s="40">
        <f t="shared" ref="AE65:AE80" si="46">AD65</f>
        <v>23.217165673473822</v>
      </c>
      <c r="AG65" s="16">
        <f t="shared" si="24"/>
        <v>0.10185913880541166</v>
      </c>
      <c r="AH65" s="26">
        <f t="shared" si="25"/>
        <v>9.8174794301998478</v>
      </c>
      <c r="AJ65" s="85" t="str">
        <f t="shared" si="26"/>
        <v>NOEC</v>
      </c>
      <c r="AK65" s="9">
        <f t="shared" si="9"/>
        <v>1</v>
      </c>
      <c r="AL65" s="18">
        <f t="shared" si="27"/>
        <v>23.217165673473822</v>
      </c>
      <c r="AM65" s="88" t="str">
        <f t="shared" si="28"/>
        <v>Chronic</v>
      </c>
      <c r="AN65" s="9">
        <f t="shared" si="10"/>
        <v>1</v>
      </c>
      <c r="AO65" s="18">
        <f t="shared" si="11"/>
        <v>23.217165673473822</v>
      </c>
      <c r="AP65" s="16"/>
      <c r="AQ65" s="101" t="str">
        <f t="shared" si="29"/>
        <v>NOEC</v>
      </c>
      <c r="AR65" s="102" t="s">
        <v>356</v>
      </c>
      <c r="AS65" s="103" t="str">
        <f t="shared" si="30"/>
        <v>Chronic</v>
      </c>
      <c r="AT65" s="102" t="str">
        <f t="shared" si="14"/>
        <v>y</v>
      </c>
      <c r="AU65" s="104" t="str">
        <f t="shared" si="41"/>
        <v>Mortality</v>
      </c>
      <c r="AV65" s="102" t="s">
        <v>459</v>
      </c>
      <c r="AW65" s="105">
        <f t="shared" si="42"/>
        <v>7</v>
      </c>
      <c r="AX65" s="102" t="s">
        <v>460</v>
      </c>
      <c r="AY65" s="102"/>
      <c r="AZ65" s="82">
        <f t="shared" ref="AZ65:AZ67" si="47">AO65</f>
        <v>23.217165673473822</v>
      </c>
      <c r="BA65" s="118">
        <f t="shared" si="39"/>
        <v>23.217165673473822</v>
      </c>
      <c r="BB65" s="119">
        <f>MIN(BA65)</f>
        <v>23.217165673473822</v>
      </c>
      <c r="BC65" s="109"/>
    </row>
    <row r="66" spans="1:61" ht="15" customHeight="1" x14ac:dyDescent="0.25">
      <c r="A66" s="32" t="s">
        <v>240</v>
      </c>
      <c r="B66" s="33">
        <v>237</v>
      </c>
      <c r="C66" s="34" t="s">
        <v>24</v>
      </c>
      <c r="D66" s="35" t="s">
        <v>236</v>
      </c>
      <c r="E66" s="33" t="s">
        <v>178</v>
      </c>
      <c r="F66" s="33" t="s">
        <v>179</v>
      </c>
      <c r="G66" s="33" t="s">
        <v>52</v>
      </c>
      <c r="H66" s="33" t="s">
        <v>572</v>
      </c>
      <c r="I66" s="48" t="s">
        <v>224</v>
      </c>
      <c r="J66" s="36" t="s">
        <v>53</v>
      </c>
      <c r="K66" s="36" t="s">
        <v>53</v>
      </c>
      <c r="L66" s="36" t="s">
        <v>54</v>
      </c>
      <c r="M66" s="36">
        <v>14</v>
      </c>
      <c r="N66" s="33" t="s">
        <v>55</v>
      </c>
      <c r="O66" s="37" t="s">
        <v>33</v>
      </c>
      <c r="P66" s="38" t="s">
        <v>237</v>
      </c>
      <c r="Q66" s="38" t="s">
        <v>900</v>
      </c>
      <c r="R66" s="33" t="s">
        <v>37</v>
      </c>
      <c r="S66" s="33" t="s">
        <v>37</v>
      </c>
      <c r="T66" s="33" t="s">
        <v>921</v>
      </c>
      <c r="U66" s="33" t="s">
        <v>238</v>
      </c>
      <c r="V66" s="33">
        <v>22.3</v>
      </c>
      <c r="W66" s="33" t="s">
        <v>241</v>
      </c>
      <c r="X66" s="33">
        <v>6.6</v>
      </c>
      <c r="Y66" s="49">
        <v>0.18584067349021094</v>
      </c>
      <c r="Z66" s="40">
        <v>13</v>
      </c>
      <c r="AA66" s="33">
        <v>34.200000000000003</v>
      </c>
      <c r="AB66" s="33">
        <v>34.200000000000003</v>
      </c>
      <c r="AC66" s="40">
        <v>13</v>
      </c>
      <c r="AD66" s="40">
        <f t="shared" si="23"/>
        <v>11.701678434502991</v>
      </c>
      <c r="AE66" s="40">
        <f t="shared" si="46"/>
        <v>11.701678434502991</v>
      </c>
      <c r="AG66" s="16">
        <f t="shared" si="24"/>
        <v>12.246161992650494</v>
      </c>
      <c r="AH66" s="26">
        <f t="shared" si="25"/>
        <v>8.1658237135859194E-2</v>
      </c>
      <c r="AJ66" s="85" t="str">
        <f t="shared" si="26"/>
        <v>NOEC</v>
      </c>
      <c r="AK66" s="9">
        <f t="shared" si="9"/>
        <v>1</v>
      </c>
      <c r="AL66" s="18">
        <f t="shared" si="27"/>
        <v>11.701678434502991</v>
      </c>
      <c r="AM66" s="88" t="str">
        <f t="shared" si="28"/>
        <v>Chronic</v>
      </c>
      <c r="AN66" s="9">
        <f t="shared" si="10"/>
        <v>1</v>
      </c>
      <c r="AO66" s="18">
        <f t="shared" si="11"/>
        <v>11.701678434502991</v>
      </c>
      <c r="AP66" s="16"/>
      <c r="AQ66" s="132" t="str">
        <f t="shared" si="29"/>
        <v>NOEC</v>
      </c>
      <c r="AR66" s="67" t="s">
        <v>356</v>
      </c>
      <c r="AS66" s="88" t="str">
        <f t="shared" si="30"/>
        <v>Chronic</v>
      </c>
      <c r="AT66" s="67" t="str">
        <f t="shared" si="14"/>
        <v>y</v>
      </c>
      <c r="AU66" s="69" t="str">
        <f t="shared" si="41"/>
        <v>Mortality</v>
      </c>
      <c r="AV66" s="67" t="s">
        <v>459</v>
      </c>
      <c r="AW66" s="70">
        <f t="shared" si="42"/>
        <v>14</v>
      </c>
      <c r="AX66" s="67" t="s">
        <v>478</v>
      </c>
      <c r="AY66" s="67"/>
      <c r="AZ66" s="82">
        <f t="shared" si="47"/>
        <v>11.701678434502991</v>
      </c>
      <c r="BA66" s="72">
        <f>GEOMEAN(AZ66:AZ68)</f>
        <v>14.810322590760611</v>
      </c>
      <c r="BB66" s="73">
        <f>MIN(BA65:BA72)</f>
        <v>14.810322590760611</v>
      </c>
      <c r="BC66" s="133"/>
    </row>
    <row r="67" spans="1:61" ht="15" customHeight="1" x14ac:dyDescent="0.25">
      <c r="A67" s="32" t="s">
        <v>242</v>
      </c>
      <c r="B67" s="33">
        <v>237</v>
      </c>
      <c r="C67" s="34" t="s">
        <v>24</v>
      </c>
      <c r="D67" s="35" t="s">
        <v>236</v>
      </c>
      <c r="E67" s="33" t="s">
        <v>178</v>
      </c>
      <c r="F67" s="33" t="s">
        <v>179</v>
      </c>
      <c r="G67" s="33" t="s">
        <v>52</v>
      </c>
      <c r="H67" s="33" t="s">
        <v>572</v>
      </c>
      <c r="I67" s="36" t="s">
        <v>224</v>
      </c>
      <c r="J67" s="36" t="s">
        <v>53</v>
      </c>
      <c r="K67" s="36" t="s">
        <v>53</v>
      </c>
      <c r="L67" s="36" t="s">
        <v>54</v>
      </c>
      <c r="M67" s="36">
        <v>14</v>
      </c>
      <c r="N67" s="33" t="s">
        <v>55</v>
      </c>
      <c r="O67" s="37" t="s">
        <v>33</v>
      </c>
      <c r="P67" s="38" t="s">
        <v>237</v>
      </c>
      <c r="Q67" s="38" t="s">
        <v>900</v>
      </c>
      <c r="R67" s="33" t="s">
        <v>37</v>
      </c>
      <c r="S67" s="33" t="s">
        <v>37</v>
      </c>
      <c r="T67" s="33" t="s">
        <v>922</v>
      </c>
      <c r="U67" s="33" t="s">
        <v>238</v>
      </c>
      <c r="V67" s="33">
        <v>22.3</v>
      </c>
      <c r="W67" s="33" t="s">
        <v>243</v>
      </c>
      <c r="X67" s="33">
        <v>7.25</v>
      </c>
      <c r="Y67" s="49">
        <v>0.82480574480836111</v>
      </c>
      <c r="Z67" s="33">
        <v>18.399999999999999</v>
      </c>
      <c r="AA67" s="33">
        <v>182</v>
      </c>
      <c r="AB67" s="33">
        <v>182</v>
      </c>
      <c r="AC67" s="33">
        <v>18.399999999999999</v>
      </c>
      <c r="AD67" s="40">
        <f t="shared" si="23"/>
        <v>20.761173096683475</v>
      </c>
      <c r="AE67" s="40">
        <f t="shared" si="46"/>
        <v>20.761173096683475</v>
      </c>
      <c r="AG67" s="16">
        <f t="shared" si="24"/>
        <v>2.7415741719278812</v>
      </c>
      <c r="AH67" s="26">
        <f t="shared" si="25"/>
        <v>0.36475394692560797</v>
      </c>
      <c r="AJ67" s="85" t="str">
        <f t="shared" si="26"/>
        <v>NOEC</v>
      </c>
      <c r="AK67" s="9">
        <f t="shared" si="9"/>
        <v>1</v>
      </c>
      <c r="AL67" s="18">
        <f t="shared" si="27"/>
        <v>20.761173096683475</v>
      </c>
      <c r="AM67" s="88" t="str">
        <f t="shared" si="28"/>
        <v>Chronic</v>
      </c>
      <c r="AN67" s="9">
        <f t="shared" si="10"/>
        <v>1</v>
      </c>
      <c r="AO67" s="18">
        <f t="shared" si="11"/>
        <v>20.761173096683475</v>
      </c>
      <c r="AP67" s="16"/>
      <c r="AQ67" s="132" t="str">
        <f t="shared" si="29"/>
        <v>NOEC</v>
      </c>
      <c r="AR67" s="67" t="s">
        <v>356</v>
      </c>
      <c r="AS67" s="88" t="str">
        <f t="shared" si="30"/>
        <v>Chronic</v>
      </c>
      <c r="AT67" s="67" t="str">
        <f t="shared" si="14"/>
        <v>y</v>
      </c>
      <c r="AU67" s="69" t="str">
        <f t="shared" si="41"/>
        <v>Mortality</v>
      </c>
      <c r="AV67" s="67" t="s">
        <v>459</v>
      </c>
      <c r="AW67" s="70">
        <f t="shared" si="42"/>
        <v>14</v>
      </c>
      <c r="AX67" s="67" t="s">
        <v>478</v>
      </c>
      <c r="AY67" s="67"/>
      <c r="AZ67" s="82">
        <f t="shared" si="47"/>
        <v>20.761173096683475</v>
      </c>
      <c r="BA67" s="81"/>
      <c r="BB67" s="78"/>
      <c r="BC67" s="133"/>
      <c r="BD67" t="s">
        <v>514</v>
      </c>
    </row>
    <row r="68" spans="1:61" ht="16" x14ac:dyDescent="0.25">
      <c r="A68" s="32" t="s">
        <v>244</v>
      </c>
      <c r="B68" s="33">
        <v>237</v>
      </c>
      <c r="C68" s="34" t="s">
        <v>24</v>
      </c>
      <c r="D68" s="35" t="s">
        <v>236</v>
      </c>
      <c r="E68" s="33" t="s">
        <v>178</v>
      </c>
      <c r="F68" s="33" t="s">
        <v>179</v>
      </c>
      <c r="G68" s="33" t="s">
        <v>52</v>
      </c>
      <c r="H68" s="33" t="s">
        <v>572</v>
      </c>
      <c r="I68" s="36" t="s">
        <v>224</v>
      </c>
      <c r="J68" s="36" t="s">
        <v>53</v>
      </c>
      <c r="K68" s="36" t="s">
        <v>53</v>
      </c>
      <c r="L68" s="36" t="s">
        <v>54</v>
      </c>
      <c r="M68" s="36">
        <v>14</v>
      </c>
      <c r="N68" s="33" t="s">
        <v>55</v>
      </c>
      <c r="O68" s="37" t="s">
        <v>33</v>
      </c>
      <c r="P68" s="38" t="s">
        <v>237</v>
      </c>
      <c r="Q68" s="38" t="s">
        <v>900</v>
      </c>
      <c r="R68" s="33" t="s">
        <v>37</v>
      </c>
      <c r="S68" s="33" t="s">
        <v>37</v>
      </c>
      <c r="T68" s="33" t="s">
        <v>923</v>
      </c>
      <c r="U68" s="33" t="s">
        <v>238</v>
      </c>
      <c r="V68" s="33">
        <v>22.3</v>
      </c>
      <c r="W68" s="33" t="s">
        <v>239</v>
      </c>
      <c r="X68" s="33">
        <v>8.68</v>
      </c>
      <c r="Y68" s="49">
        <v>18.290348329853874</v>
      </c>
      <c r="Z68" s="33">
        <v>1.82</v>
      </c>
      <c r="AA68" s="33">
        <v>433</v>
      </c>
      <c r="AB68" s="33">
        <v>433</v>
      </c>
      <c r="AC68" s="33">
        <v>1.82</v>
      </c>
      <c r="AD68" s="40">
        <f t="shared" si="23"/>
        <v>13.371911875228594</v>
      </c>
      <c r="AE68" s="40">
        <f t="shared" si="46"/>
        <v>13.371911875228594</v>
      </c>
      <c r="AG68" s="16">
        <f t="shared" si="24"/>
        <v>0.10185913880541166</v>
      </c>
      <c r="AH68" s="26">
        <f t="shared" si="25"/>
        <v>9.8174794301998478</v>
      </c>
      <c r="AJ68" s="85" t="str">
        <f t="shared" si="26"/>
        <v>NOEC</v>
      </c>
      <c r="AK68" s="9">
        <f t="shared" si="9"/>
        <v>1</v>
      </c>
      <c r="AL68" s="18">
        <f t="shared" si="27"/>
        <v>13.371911875228594</v>
      </c>
      <c r="AM68" s="88" t="str">
        <f t="shared" si="28"/>
        <v>Chronic</v>
      </c>
      <c r="AN68" s="9">
        <f t="shared" si="10"/>
        <v>1</v>
      </c>
      <c r="AO68" s="18">
        <f t="shared" si="11"/>
        <v>13.371911875228594</v>
      </c>
      <c r="AP68" s="16"/>
      <c r="AQ68" s="132" t="str">
        <f t="shared" si="29"/>
        <v>NOEC</v>
      </c>
      <c r="AR68" s="67" t="s">
        <v>356</v>
      </c>
      <c r="AS68" s="88" t="str">
        <f t="shared" si="30"/>
        <v>Chronic</v>
      </c>
      <c r="AT68" s="67" t="str">
        <f t="shared" si="14"/>
        <v>y</v>
      </c>
      <c r="AU68" s="69" t="str">
        <f t="shared" si="41"/>
        <v>Mortality</v>
      </c>
      <c r="AV68" s="67" t="s">
        <v>459</v>
      </c>
      <c r="AW68" s="70">
        <f t="shared" si="42"/>
        <v>14</v>
      </c>
      <c r="AX68" s="67" t="s">
        <v>478</v>
      </c>
      <c r="AY68" s="67"/>
      <c r="AZ68" s="82">
        <f>AO68</f>
        <v>13.371911875228594</v>
      </c>
      <c r="BA68" s="81"/>
      <c r="BB68" s="78"/>
      <c r="BC68" s="133"/>
      <c r="BD68" t="s">
        <v>501</v>
      </c>
    </row>
    <row r="69" spans="1:61" ht="15" customHeight="1" x14ac:dyDescent="0.25">
      <c r="A69" s="32" t="s">
        <v>245</v>
      </c>
      <c r="B69" s="33">
        <v>237</v>
      </c>
      <c r="C69" s="34" t="s">
        <v>24</v>
      </c>
      <c r="D69" s="35" t="s">
        <v>236</v>
      </c>
      <c r="E69" s="33" t="s">
        <v>178</v>
      </c>
      <c r="F69" s="33" t="s">
        <v>179</v>
      </c>
      <c r="G69" s="33" t="s">
        <v>52</v>
      </c>
      <c r="H69" s="33" t="s">
        <v>572</v>
      </c>
      <c r="I69" s="48" t="s">
        <v>224</v>
      </c>
      <c r="J69" s="36" t="s">
        <v>53</v>
      </c>
      <c r="K69" s="36" t="s">
        <v>53</v>
      </c>
      <c r="L69" s="36" t="s">
        <v>54</v>
      </c>
      <c r="M69" s="36">
        <v>32</v>
      </c>
      <c r="N69" s="33" t="s">
        <v>55</v>
      </c>
      <c r="O69" s="37" t="s">
        <v>33</v>
      </c>
      <c r="P69" s="38" t="s">
        <v>237</v>
      </c>
      <c r="Q69" s="38" t="s">
        <v>900</v>
      </c>
      <c r="R69" s="33" t="s">
        <v>37</v>
      </c>
      <c r="S69" s="33" t="s">
        <v>37</v>
      </c>
      <c r="T69" s="33" t="s">
        <v>924</v>
      </c>
      <c r="U69" s="33" t="s">
        <v>238</v>
      </c>
      <c r="V69" s="33">
        <v>22.3</v>
      </c>
      <c r="W69" s="33" t="s">
        <v>241</v>
      </c>
      <c r="X69" s="33">
        <v>6.6</v>
      </c>
      <c r="Y69" s="49">
        <v>0.18584067349021094</v>
      </c>
      <c r="Z69" s="33">
        <v>38.1</v>
      </c>
      <c r="AA69" s="33">
        <v>94.3</v>
      </c>
      <c r="AB69" s="33">
        <v>94.3</v>
      </c>
      <c r="AC69" s="33">
        <v>38.1</v>
      </c>
      <c r="AD69" s="40">
        <f t="shared" ref="AD69:AD100" si="48">AC69/((0.0278/(1+AG69))+(1.1994/(1+AH69)))</f>
        <v>34.294919104197227</v>
      </c>
      <c r="AE69" s="40">
        <f t="shared" si="46"/>
        <v>34.294919104197227</v>
      </c>
      <c r="AG69" s="16">
        <f t="shared" ref="AG69:AG100" si="49">POWER(10,7.688-X69)</f>
        <v>12.246161992650494</v>
      </c>
      <c r="AH69" s="26">
        <f t="shared" ref="AH69:AH100" si="50">POWER(10,X69-7.688)</f>
        <v>8.1658237135859194E-2</v>
      </c>
      <c r="AJ69" s="85" t="str">
        <f t="shared" ref="AJ69:AJ100" si="51">L69</f>
        <v>NOEC</v>
      </c>
      <c r="AK69" s="9">
        <f t="shared" si="9"/>
        <v>1</v>
      </c>
      <c r="AL69" s="18">
        <f t="shared" ref="AL69:AL100" si="52">AE69/AK69</f>
        <v>34.294919104197227</v>
      </c>
      <c r="AM69" s="88" t="str">
        <f t="shared" ref="AM69:AM100" si="53">O69</f>
        <v>Chronic</v>
      </c>
      <c r="AN69" s="9">
        <f t="shared" si="10"/>
        <v>1</v>
      </c>
      <c r="AO69" s="18">
        <f t="shared" si="11"/>
        <v>34.294919104197227</v>
      </c>
      <c r="AP69" s="16"/>
      <c r="AQ69" s="132" t="str">
        <f t="shared" ref="AQ69:AQ100" si="54">L69</f>
        <v>NOEC</v>
      </c>
      <c r="AR69" s="67" t="s">
        <v>356</v>
      </c>
      <c r="AS69" s="88" t="str">
        <f t="shared" ref="AS69:AS100" si="55">O69</f>
        <v>Chronic</v>
      </c>
      <c r="AT69" s="67" t="str">
        <f t="shared" si="14"/>
        <v>y</v>
      </c>
      <c r="AU69" s="69" t="str">
        <f t="shared" si="41"/>
        <v>Mortality</v>
      </c>
      <c r="AV69" s="67" t="s">
        <v>459</v>
      </c>
      <c r="AW69" s="70">
        <f t="shared" si="42"/>
        <v>32</v>
      </c>
      <c r="AX69" s="67" t="s">
        <v>490</v>
      </c>
      <c r="AY69" s="67"/>
      <c r="AZ69" s="80">
        <f t="shared" ref="AZ69:AZ88" si="56">AO69</f>
        <v>34.294919104197227</v>
      </c>
      <c r="BA69" s="81">
        <f>GEOMEAN(AZ69:AZ72)</f>
        <v>24.624334703401107</v>
      </c>
      <c r="BB69" s="78"/>
      <c r="BC69" s="133"/>
    </row>
    <row r="70" spans="1:61" ht="14.5" customHeight="1" x14ac:dyDescent="0.25">
      <c r="A70" s="32" t="s">
        <v>246</v>
      </c>
      <c r="B70" s="33">
        <v>237</v>
      </c>
      <c r="C70" s="34" t="s">
        <v>24</v>
      </c>
      <c r="D70" s="35" t="s">
        <v>236</v>
      </c>
      <c r="E70" s="33" t="s">
        <v>178</v>
      </c>
      <c r="F70" s="33" t="s">
        <v>179</v>
      </c>
      <c r="G70" s="33" t="s">
        <v>52</v>
      </c>
      <c r="H70" s="33" t="s">
        <v>572</v>
      </c>
      <c r="I70" s="36" t="s">
        <v>224</v>
      </c>
      <c r="J70" s="36" t="s">
        <v>53</v>
      </c>
      <c r="K70" s="36" t="s">
        <v>53</v>
      </c>
      <c r="L70" s="36" t="s">
        <v>54</v>
      </c>
      <c r="M70" s="36">
        <v>32</v>
      </c>
      <c r="N70" s="33" t="s">
        <v>55</v>
      </c>
      <c r="O70" s="37" t="s">
        <v>33</v>
      </c>
      <c r="P70" s="38" t="s">
        <v>237</v>
      </c>
      <c r="Q70" s="38" t="s">
        <v>900</v>
      </c>
      <c r="R70" s="33" t="s">
        <v>37</v>
      </c>
      <c r="S70" s="33" t="s">
        <v>37</v>
      </c>
      <c r="T70" s="33" t="s">
        <v>925</v>
      </c>
      <c r="U70" s="33" t="s">
        <v>238</v>
      </c>
      <c r="V70" s="33">
        <v>22.3</v>
      </c>
      <c r="W70" s="33" t="s">
        <v>243</v>
      </c>
      <c r="X70" s="33">
        <v>7.25</v>
      </c>
      <c r="Y70" s="49">
        <v>0.82480574480836111</v>
      </c>
      <c r="Z70" s="33">
        <v>31.5</v>
      </c>
      <c r="AA70" s="33">
        <v>303</v>
      </c>
      <c r="AB70" s="33">
        <v>303</v>
      </c>
      <c r="AC70" s="33">
        <v>31.5</v>
      </c>
      <c r="AD70" s="40">
        <f t="shared" si="48"/>
        <v>35.542225681822252</v>
      </c>
      <c r="AE70" s="40">
        <f t="shared" si="46"/>
        <v>35.542225681822252</v>
      </c>
      <c r="AG70" s="16">
        <f t="shared" si="49"/>
        <v>2.7415741719278812</v>
      </c>
      <c r="AH70" s="26">
        <f t="shared" si="50"/>
        <v>0.36475394692560797</v>
      </c>
      <c r="AJ70" s="85" t="str">
        <f t="shared" si="51"/>
        <v>NOEC</v>
      </c>
      <c r="AK70" s="9">
        <f t="shared" ref="AK70:AK133" si="57">VLOOKUP(AJ70,$BG$5:$BH$16,2,FALSE)</f>
        <v>1</v>
      </c>
      <c r="AL70" s="18">
        <f t="shared" si="52"/>
        <v>35.542225681822252</v>
      </c>
      <c r="AM70" s="88" t="str">
        <f t="shared" si="53"/>
        <v>Chronic</v>
      </c>
      <c r="AN70" s="9">
        <f t="shared" ref="AN70:AN133" si="58">VLOOKUP(AM70,$BG$18:$BI$19,2,FALSE)</f>
        <v>1</v>
      </c>
      <c r="AO70" s="18">
        <f t="shared" ref="AO70:AO133" si="59">AL70/AN70</f>
        <v>35.542225681822252</v>
      </c>
      <c r="AP70" s="16"/>
      <c r="AQ70" s="132" t="str">
        <f t="shared" si="54"/>
        <v>NOEC</v>
      </c>
      <c r="AR70" s="67" t="s">
        <v>356</v>
      </c>
      <c r="AS70" s="88" t="str">
        <f t="shared" si="55"/>
        <v>Chronic</v>
      </c>
      <c r="AT70" s="67" t="str">
        <f t="shared" si="14"/>
        <v>y</v>
      </c>
      <c r="AU70" s="69" t="str">
        <f t="shared" si="41"/>
        <v>Mortality</v>
      </c>
      <c r="AV70" s="67" t="s">
        <v>459</v>
      </c>
      <c r="AW70" s="70">
        <f t="shared" si="42"/>
        <v>32</v>
      </c>
      <c r="AX70" s="67" t="s">
        <v>490</v>
      </c>
      <c r="AY70" s="67"/>
      <c r="AZ70" s="80">
        <f t="shared" si="56"/>
        <v>35.542225681822252</v>
      </c>
      <c r="BA70" s="81"/>
      <c r="BB70" s="78"/>
      <c r="BC70" s="133"/>
    </row>
    <row r="71" spans="1:61" ht="16" x14ac:dyDescent="0.25">
      <c r="A71" s="32" t="s">
        <v>247</v>
      </c>
      <c r="B71" s="33">
        <v>237</v>
      </c>
      <c r="C71" s="34" t="s">
        <v>24</v>
      </c>
      <c r="D71" s="35" t="s">
        <v>236</v>
      </c>
      <c r="E71" s="33" t="s">
        <v>178</v>
      </c>
      <c r="F71" s="33" t="s">
        <v>179</v>
      </c>
      <c r="G71" s="33" t="s">
        <v>52</v>
      </c>
      <c r="H71" s="33" t="s">
        <v>572</v>
      </c>
      <c r="I71" s="36" t="s">
        <v>224</v>
      </c>
      <c r="J71" s="36" t="s">
        <v>53</v>
      </c>
      <c r="K71" s="36" t="s">
        <v>53</v>
      </c>
      <c r="L71" s="36" t="s">
        <v>54</v>
      </c>
      <c r="M71" s="36">
        <v>32</v>
      </c>
      <c r="N71" s="33" t="s">
        <v>55</v>
      </c>
      <c r="O71" s="37" t="s">
        <v>33</v>
      </c>
      <c r="P71" s="38" t="s">
        <v>237</v>
      </c>
      <c r="Q71" s="38" t="s">
        <v>900</v>
      </c>
      <c r="R71" s="33" t="s">
        <v>37</v>
      </c>
      <c r="S71" s="33" t="s">
        <v>37</v>
      </c>
      <c r="T71" s="33" t="s">
        <v>926</v>
      </c>
      <c r="U71" s="33" t="s">
        <v>238</v>
      </c>
      <c r="V71" s="33">
        <v>22.3</v>
      </c>
      <c r="W71" s="33" t="s">
        <v>248</v>
      </c>
      <c r="X71" s="33">
        <v>7.83</v>
      </c>
      <c r="Y71" s="49">
        <v>3.0649914701603156</v>
      </c>
      <c r="Z71" s="33">
        <v>11.7</v>
      </c>
      <c r="AA71" s="33">
        <v>472</v>
      </c>
      <c r="AB71" s="33">
        <v>472</v>
      </c>
      <c r="AC71" s="33">
        <v>11.7</v>
      </c>
      <c r="AD71" s="40">
        <f t="shared" si="48"/>
        <v>22.557455731434633</v>
      </c>
      <c r="AE71" s="40">
        <f t="shared" si="46"/>
        <v>22.557455731434633</v>
      </c>
      <c r="AG71" s="16">
        <f t="shared" si="49"/>
        <v>0.72110747918289908</v>
      </c>
      <c r="AH71" s="26">
        <f t="shared" si="50"/>
        <v>1.3867558288718895</v>
      </c>
      <c r="AJ71" s="85" t="str">
        <f t="shared" si="51"/>
        <v>NOEC</v>
      </c>
      <c r="AK71" s="9">
        <f t="shared" si="57"/>
        <v>1</v>
      </c>
      <c r="AL71" s="18">
        <f t="shared" si="52"/>
        <v>22.557455731434633</v>
      </c>
      <c r="AM71" s="88" t="str">
        <f t="shared" si="53"/>
        <v>Chronic</v>
      </c>
      <c r="AN71" s="9">
        <f t="shared" si="58"/>
        <v>1</v>
      </c>
      <c r="AO71" s="18">
        <f t="shared" si="59"/>
        <v>22.557455731434633</v>
      </c>
      <c r="AP71" s="16"/>
      <c r="AQ71" s="132" t="str">
        <f t="shared" si="54"/>
        <v>NOEC</v>
      </c>
      <c r="AR71" s="67" t="s">
        <v>356</v>
      </c>
      <c r="AS71" s="88" t="str">
        <f t="shared" si="55"/>
        <v>Chronic</v>
      </c>
      <c r="AT71" s="67" t="str">
        <f t="shared" si="14"/>
        <v>y</v>
      </c>
      <c r="AU71" s="69" t="str">
        <f t="shared" si="41"/>
        <v>Mortality</v>
      </c>
      <c r="AV71" s="67" t="s">
        <v>459</v>
      </c>
      <c r="AW71" s="70">
        <f t="shared" si="42"/>
        <v>32</v>
      </c>
      <c r="AX71" s="67" t="s">
        <v>490</v>
      </c>
      <c r="AY71" s="67"/>
      <c r="AZ71" s="82">
        <f t="shared" si="56"/>
        <v>22.557455731434633</v>
      </c>
      <c r="BA71" s="81"/>
      <c r="BB71" s="78"/>
      <c r="BC71" s="133"/>
    </row>
    <row r="72" spans="1:61" ht="15" customHeight="1" x14ac:dyDescent="0.25">
      <c r="A72" s="32" t="s">
        <v>249</v>
      </c>
      <c r="B72" s="33">
        <v>237</v>
      </c>
      <c r="C72" s="34" t="s">
        <v>24</v>
      </c>
      <c r="D72" s="35" t="s">
        <v>236</v>
      </c>
      <c r="E72" s="33" t="s">
        <v>178</v>
      </c>
      <c r="F72" s="33" t="s">
        <v>179</v>
      </c>
      <c r="G72" s="33" t="s">
        <v>52</v>
      </c>
      <c r="H72" s="33" t="s">
        <v>572</v>
      </c>
      <c r="I72" s="36" t="s">
        <v>224</v>
      </c>
      <c r="J72" s="36" t="s">
        <v>53</v>
      </c>
      <c r="K72" s="36" t="s">
        <v>53</v>
      </c>
      <c r="L72" s="36" t="s">
        <v>54</v>
      </c>
      <c r="M72" s="36">
        <v>32</v>
      </c>
      <c r="N72" s="33" t="s">
        <v>55</v>
      </c>
      <c r="O72" s="37" t="s">
        <v>33</v>
      </c>
      <c r="P72" s="38" t="s">
        <v>237</v>
      </c>
      <c r="Q72" s="38" t="s">
        <v>900</v>
      </c>
      <c r="R72" s="33" t="s">
        <v>37</v>
      </c>
      <c r="S72" s="33" t="s">
        <v>37</v>
      </c>
      <c r="T72" s="33" t="s">
        <v>927</v>
      </c>
      <c r="U72" s="33" t="s">
        <v>238</v>
      </c>
      <c r="V72" s="33">
        <v>22.3</v>
      </c>
      <c r="W72" s="33" t="s">
        <v>239</v>
      </c>
      <c r="X72" s="33">
        <v>8.68</v>
      </c>
      <c r="Y72" s="49">
        <v>18.290348329853874</v>
      </c>
      <c r="Z72" s="33">
        <v>1.82</v>
      </c>
      <c r="AA72" s="33">
        <v>433</v>
      </c>
      <c r="AB72" s="172">
        <v>433</v>
      </c>
      <c r="AC72" s="33">
        <v>1.82</v>
      </c>
      <c r="AD72" s="40">
        <f t="shared" si="48"/>
        <v>13.371911875228594</v>
      </c>
      <c r="AE72" s="40">
        <f t="shared" si="46"/>
        <v>13.371911875228594</v>
      </c>
      <c r="AG72" s="16">
        <f t="shared" si="49"/>
        <v>0.10185913880541166</v>
      </c>
      <c r="AH72" s="26">
        <f t="shared" si="50"/>
        <v>9.8174794301998478</v>
      </c>
      <c r="AJ72" s="85" t="str">
        <f t="shared" si="51"/>
        <v>NOEC</v>
      </c>
      <c r="AK72" s="9">
        <f t="shared" si="57"/>
        <v>1</v>
      </c>
      <c r="AL72" s="18">
        <f t="shared" si="52"/>
        <v>13.371911875228594</v>
      </c>
      <c r="AM72" s="88" t="str">
        <f t="shared" si="53"/>
        <v>Chronic</v>
      </c>
      <c r="AN72" s="9">
        <f t="shared" si="58"/>
        <v>1</v>
      </c>
      <c r="AO72" s="18">
        <f t="shared" si="59"/>
        <v>13.371911875228594</v>
      </c>
      <c r="AP72" s="16"/>
      <c r="AQ72" s="132" t="str">
        <f t="shared" si="54"/>
        <v>NOEC</v>
      </c>
      <c r="AR72" s="67" t="s">
        <v>356</v>
      </c>
      <c r="AS72" s="88" t="str">
        <f t="shared" si="55"/>
        <v>Chronic</v>
      </c>
      <c r="AT72" s="67" t="str">
        <f t="shared" si="14"/>
        <v>y</v>
      </c>
      <c r="AU72" s="69" t="str">
        <f t="shared" si="41"/>
        <v>Mortality</v>
      </c>
      <c r="AV72" s="67" t="s">
        <v>459</v>
      </c>
      <c r="AW72" s="70">
        <f t="shared" si="42"/>
        <v>32</v>
      </c>
      <c r="AX72" s="67" t="s">
        <v>490</v>
      </c>
      <c r="AY72" s="67"/>
      <c r="AZ72" s="82">
        <f t="shared" si="56"/>
        <v>13.371911875228594</v>
      </c>
      <c r="BA72" s="81"/>
      <c r="BB72" s="78"/>
      <c r="BC72" s="133"/>
    </row>
    <row r="73" spans="1:61" ht="14" customHeight="1" x14ac:dyDescent="0.25">
      <c r="A73" s="32" t="s">
        <v>250</v>
      </c>
      <c r="B73" s="33">
        <v>237</v>
      </c>
      <c r="C73" s="34" t="s">
        <v>24</v>
      </c>
      <c r="D73" s="35" t="s">
        <v>236</v>
      </c>
      <c r="E73" s="33" t="s">
        <v>178</v>
      </c>
      <c r="F73" s="33" t="s">
        <v>179</v>
      </c>
      <c r="G73" s="33" t="s">
        <v>52</v>
      </c>
      <c r="H73" s="33" t="s">
        <v>572</v>
      </c>
      <c r="I73" s="48" t="s">
        <v>224</v>
      </c>
      <c r="J73" s="48" t="s">
        <v>219</v>
      </c>
      <c r="K73" s="48" t="s">
        <v>169</v>
      </c>
      <c r="L73" s="36" t="s">
        <v>54</v>
      </c>
      <c r="M73" s="36">
        <v>32</v>
      </c>
      <c r="N73" s="33" t="s">
        <v>55</v>
      </c>
      <c r="O73" s="37" t="s">
        <v>33</v>
      </c>
      <c r="P73" s="38" t="s">
        <v>237</v>
      </c>
      <c r="Q73" s="38" t="s">
        <v>900</v>
      </c>
      <c r="R73" s="33" t="s">
        <v>37</v>
      </c>
      <c r="S73" s="33" t="s">
        <v>37</v>
      </c>
      <c r="T73" s="33" t="s">
        <v>928</v>
      </c>
      <c r="U73" s="33" t="s">
        <v>238</v>
      </c>
      <c r="V73" s="33">
        <v>22.3</v>
      </c>
      <c r="W73" s="33" t="s">
        <v>241</v>
      </c>
      <c r="X73" s="33">
        <v>6.6</v>
      </c>
      <c r="Y73" s="49">
        <v>0.18584067349021094</v>
      </c>
      <c r="Z73" s="33">
        <v>8.24</v>
      </c>
      <c r="AA73" s="33">
        <v>21.5</v>
      </c>
      <c r="AB73" s="33">
        <v>21.5</v>
      </c>
      <c r="AC73" s="33">
        <v>8.24</v>
      </c>
      <c r="AD73" s="40">
        <f t="shared" si="48"/>
        <v>7.4170638692542035</v>
      </c>
      <c r="AE73" s="40">
        <f t="shared" si="46"/>
        <v>7.4170638692542035</v>
      </c>
      <c r="AG73" s="16">
        <f t="shared" si="49"/>
        <v>12.246161992650494</v>
      </c>
      <c r="AH73" s="26">
        <f t="shared" si="50"/>
        <v>8.1658237135859194E-2</v>
      </c>
      <c r="AJ73" s="85" t="str">
        <f t="shared" si="51"/>
        <v>NOEC</v>
      </c>
      <c r="AK73" s="9">
        <f t="shared" si="57"/>
        <v>1</v>
      </c>
      <c r="AL73" s="18">
        <f t="shared" si="52"/>
        <v>7.4170638692542035</v>
      </c>
      <c r="AM73" s="88" t="str">
        <f t="shared" si="53"/>
        <v>Chronic</v>
      </c>
      <c r="AN73" s="9">
        <f t="shared" si="58"/>
        <v>1</v>
      </c>
      <c r="AO73" s="18">
        <f t="shared" si="59"/>
        <v>7.4170638692542035</v>
      </c>
      <c r="AP73" s="16"/>
      <c r="AQ73" s="132" t="str">
        <f t="shared" si="54"/>
        <v>NOEC</v>
      </c>
      <c r="AR73" s="67" t="s">
        <v>356</v>
      </c>
      <c r="AS73" s="88" t="str">
        <f t="shared" si="55"/>
        <v>Chronic</v>
      </c>
      <c r="AT73" s="67" t="str">
        <f t="shared" si="14"/>
        <v>y</v>
      </c>
      <c r="AU73" s="69" t="str">
        <f t="shared" si="41"/>
        <v>Length</v>
      </c>
      <c r="AV73" s="67" t="s">
        <v>473</v>
      </c>
      <c r="AW73" s="70">
        <f t="shared" si="42"/>
        <v>32</v>
      </c>
      <c r="AX73" s="67" t="s">
        <v>474</v>
      </c>
      <c r="AY73" s="67"/>
      <c r="AZ73" s="82">
        <f t="shared" si="56"/>
        <v>7.4170638692542035</v>
      </c>
      <c r="BA73" s="72">
        <f>GEOMEAN(AZ73:AZ76)</f>
        <v>12.874250054664399</v>
      </c>
      <c r="BB73" s="73">
        <f>MIN(BA73)</f>
        <v>12.874250054664399</v>
      </c>
      <c r="BC73" s="133">
        <f>MIN(BB65:BB80)</f>
        <v>12.874250054664399</v>
      </c>
    </row>
    <row r="74" spans="1:61" ht="15" customHeight="1" x14ac:dyDescent="0.25">
      <c r="A74" s="32" t="s">
        <v>251</v>
      </c>
      <c r="B74" s="33">
        <v>237</v>
      </c>
      <c r="C74" s="34" t="s">
        <v>24</v>
      </c>
      <c r="D74" s="35" t="s">
        <v>236</v>
      </c>
      <c r="E74" s="33" t="s">
        <v>178</v>
      </c>
      <c r="F74" s="33" t="s">
        <v>179</v>
      </c>
      <c r="G74" s="33" t="s">
        <v>52</v>
      </c>
      <c r="H74" s="33" t="s">
        <v>572</v>
      </c>
      <c r="I74" s="36" t="s">
        <v>224</v>
      </c>
      <c r="J74" s="36" t="s">
        <v>219</v>
      </c>
      <c r="K74" s="36" t="s">
        <v>169</v>
      </c>
      <c r="L74" s="36" t="s">
        <v>54</v>
      </c>
      <c r="M74" s="36">
        <v>32</v>
      </c>
      <c r="N74" s="33" t="s">
        <v>55</v>
      </c>
      <c r="O74" s="37" t="s">
        <v>33</v>
      </c>
      <c r="P74" s="38" t="s">
        <v>237</v>
      </c>
      <c r="Q74" s="38" t="s">
        <v>900</v>
      </c>
      <c r="R74" s="33" t="s">
        <v>37</v>
      </c>
      <c r="S74" s="33" t="s">
        <v>37</v>
      </c>
      <c r="T74" s="33" t="s">
        <v>929</v>
      </c>
      <c r="U74" s="33" t="s">
        <v>238</v>
      </c>
      <c r="V74" s="33">
        <v>22.3</v>
      </c>
      <c r="W74" s="33" t="s">
        <v>243</v>
      </c>
      <c r="X74" s="33">
        <v>7.25</v>
      </c>
      <c r="Y74" s="49">
        <v>0.82480574480836111</v>
      </c>
      <c r="Z74" s="33">
        <v>18.399999999999999</v>
      </c>
      <c r="AA74" s="33">
        <v>182</v>
      </c>
      <c r="AB74" s="33">
        <v>182</v>
      </c>
      <c r="AC74" s="33">
        <v>18.399999999999999</v>
      </c>
      <c r="AD74" s="40">
        <f t="shared" si="48"/>
        <v>20.761173096683475</v>
      </c>
      <c r="AE74" s="40">
        <f t="shared" si="46"/>
        <v>20.761173096683475</v>
      </c>
      <c r="AG74" s="16">
        <f t="shared" si="49"/>
        <v>2.7415741719278812</v>
      </c>
      <c r="AH74" s="26">
        <f t="shared" si="50"/>
        <v>0.36475394692560797</v>
      </c>
      <c r="AJ74" s="85" t="str">
        <f t="shared" si="51"/>
        <v>NOEC</v>
      </c>
      <c r="AK74" s="9">
        <f t="shared" si="57"/>
        <v>1</v>
      </c>
      <c r="AL74" s="18">
        <f t="shared" si="52"/>
        <v>20.761173096683475</v>
      </c>
      <c r="AM74" s="88" t="str">
        <f t="shared" si="53"/>
        <v>Chronic</v>
      </c>
      <c r="AN74" s="9">
        <f t="shared" si="58"/>
        <v>1</v>
      </c>
      <c r="AO74" s="18">
        <f t="shared" si="59"/>
        <v>20.761173096683475</v>
      </c>
      <c r="AP74" s="16"/>
      <c r="AQ74" s="132" t="str">
        <f t="shared" si="54"/>
        <v>NOEC</v>
      </c>
      <c r="AR74" s="67" t="s">
        <v>356</v>
      </c>
      <c r="AS74" s="88" t="str">
        <f t="shared" si="55"/>
        <v>Chronic</v>
      </c>
      <c r="AT74" s="67" t="str">
        <f t="shared" ref="AT74" si="60">IF(AS74="chronic","y","n")</f>
        <v>y</v>
      </c>
      <c r="AU74" s="69" t="str">
        <f t="shared" si="41"/>
        <v>Length</v>
      </c>
      <c r="AV74" s="67" t="s">
        <v>473</v>
      </c>
      <c r="AW74" s="70">
        <f t="shared" si="42"/>
        <v>32</v>
      </c>
      <c r="AX74" s="67" t="s">
        <v>474</v>
      </c>
      <c r="AY74" s="67"/>
      <c r="AZ74" s="82">
        <f t="shared" si="56"/>
        <v>20.761173096683475</v>
      </c>
      <c r="BA74" s="81"/>
      <c r="BB74" s="78"/>
      <c r="BC74" s="133"/>
    </row>
    <row r="75" spans="1:61" ht="15" customHeight="1" x14ac:dyDescent="0.25">
      <c r="A75" s="32" t="s">
        <v>252</v>
      </c>
      <c r="B75" s="33">
        <v>237</v>
      </c>
      <c r="C75" s="34" t="s">
        <v>24</v>
      </c>
      <c r="D75" s="35" t="s">
        <v>236</v>
      </c>
      <c r="E75" s="33" t="s">
        <v>178</v>
      </c>
      <c r="F75" s="33" t="s">
        <v>179</v>
      </c>
      <c r="G75" s="33" t="s">
        <v>52</v>
      </c>
      <c r="H75" s="33" t="s">
        <v>572</v>
      </c>
      <c r="I75" s="36" t="s">
        <v>224</v>
      </c>
      <c r="J75" s="36" t="s">
        <v>219</v>
      </c>
      <c r="K75" s="36" t="s">
        <v>169</v>
      </c>
      <c r="L75" s="36" t="s">
        <v>54</v>
      </c>
      <c r="M75" s="36">
        <v>32</v>
      </c>
      <c r="N75" s="33" t="s">
        <v>55</v>
      </c>
      <c r="O75" s="37" t="s">
        <v>33</v>
      </c>
      <c r="P75" s="38" t="s">
        <v>237</v>
      </c>
      <c r="Q75" s="38" t="s">
        <v>900</v>
      </c>
      <c r="R75" s="33" t="s">
        <v>37</v>
      </c>
      <c r="S75" s="33" t="s">
        <v>37</v>
      </c>
      <c r="T75" s="33" t="s">
        <v>930</v>
      </c>
      <c r="U75" s="33" t="s">
        <v>238</v>
      </c>
      <c r="V75" s="33">
        <v>22.3</v>
      </c>
      <c r="W75" s="33" t="s">
        <v>248</v>
      </c>
      <c r="X75" s="33">
        <v>7.83</v>
      </c>
      <c r="Y75" s="49">
        <v>3.0649914701603156</v>
      </c>
      <c r="Z75" s="33">
        <v>6.92</v>
      </c>
      <c r="AA75" s="33">
        <v>274</v>
      </c>
      <c r="AB75" s="172">
        <v>274</v>
      </c>
      <c r="AC75" s="33">
        <v>6.92</v>
      </c>
      <c r="AD75" s="40">
        <f t="shared" si="48"/>
        <v>13.341674671925443</v>
      </c>
      <c r="AE75" s="40">
        <f t="shared" si="46"/>
        <v>13.341674671925443</v>
      </c>
      <c r="AG75" s="16">
        <f t="shared" si="49"/>
        <v>0.72110747918289908</v>
      </c>
      <c r="AH75" s="26">
        <f t="shared" si="50"/>
        <v>1.3867558288718895</v>
      </c>
      <c r="AJ75" s="85" t="str">
        <f t="shared" si="51"/>
        <v>NOEC</v>
      </c>
      <c r="AK75" s="9">
        <f t="shared" si="57"/>
        <v>1</v>
      </c>
      <c r="AL75" s="18">
        <f t="shared" si="52"/>
        <v>13.341674671925443</v>
      </c>
      <c r="AM75" s="88" t="str">
        <f t="shared" si="53"/>
        <v>Chronic</v>
      </c>
      <c r="AN75" s="9">
        <f t="shared" si="58"/>
        <v>1</v>
      </c>
      <c r="AO75" s="18">
        <f t="shared" si="59"/>
        <v>13.341674671925443</v>
      </c>
      <c r="AP75" s="16"/>
      <c r="AQ75" s="132" t="str">
        <f t="shared" si="54"/>
        <v>NOEC</v>
      </c>
      <c r="AR75" s="67" t="s">
        <v>356</v>
      </c>
      <c r="AS75" s="88" t="str">
        <f t="shared" si="55"/>
        <v>Chronic</v>
      </c>
      <c r="AT75" s="67" t="str">
        <f>IF(AS75="chronic","y","n")</f>
        <v>y</v>
      </c>
      <c r="AU75" s="69" t="str">
        <f t="shared" si="41"/>
        <v>Length</v>
      </c>
      <c r="AV75" s="67" t="s">
        <v>473</v>
      </c>
      <c r="AW75" s="70">
        <f t="shared" si="42"/>
        <v>32</v>
      </c>
      <c r="AX75" s="67" t="s">
        <v>474</v>
      </c>
      <c r="AY75" s="67"/>
      <c r="AZ75" s="82">
        <f t="shared" si="56"/>
        <v>13.341674671925443</v>
      </c>
      <c r="BA75" s="81"/>
      <c r="BB75" s="78"/>
      <c r="BC75" s="133"/>
    </row>
    <row r="76" spans="1:61" ht="15" customHeight="1" x14ac:dyDescent="0.25">
      <c r="A76" s="32" t="s">
        <v>253</v>
      </c>
      <c r="B76" s="33">
        <v>237</v>
      </c>
      <c r="C76" s="34" t="s">
        <v>24</v>
      </c>
      <c r="D76" s="35" t="s">
        <v>236</v>
      </c>
      <c r="E76" s="33" t="s">
        <v>178</v>
      </c>
      <c r="F76" s="33" t="s">
        <v>179</v>
      </c>
      <c r="G76" s="33" t="s">
        <v>52</v>
      </c>
      <c r="H76" s="33" t="s">
        <v>572</v>
      </c>
      <c r="I76" s="36" t="s">
        <v>224</v>
      </c>
      <c r="J76" s="36" t="s">
        <v>208</v>
      </c>
      <c r="K76" s="36" t="s">
        <v>169</v>
      </c>
      <c r="L76" s="36" t="s">
        <v>54</v>
      </c>
      <c r="M76" s="36">
        <v>32</v>
      </c>
      <c r="N76" s="33" t="s">
        <v>55</v>
      </c>
      <c r="O76" s="37" t="s">
        <v>33</v>
      </c>
      <c r="P76" s="38" t="s">
        <v>237</v>
      </c>
      <c r="Q76" s="38" t="s">
        <v>900</v>
      </c>
      <c r="R76" s="33" t="s">
        <v>37</v>
      </c>
      <c r="S76" s="33" t="s">
        <v>37</v>
      </c>
      <c r="T76" s="33" t="s">
        <v>931</v>
      </c>
      <c r="U76" s="33" t="s">
        <v>238</v>
      </c>
      <c r="V76" s="33">
        <v>22.3</v>
      </c>
      <c r="W76" s="33" t="s">
        <v>239</v>
      </c>
      <c r="X76" s="33">
        <v>8.68</v>
      </c>
      <c r="Y76" s="49">
        <v>18.290348329853874</v>
      </c>
      <c r="Z76" s="33">
        <v>1.82</v>
      </c>
      <c r="AA76" s="33">
        <v>433</v>
      </c>
      <c r="AB76" s="33">
        <v>433</v>
      </c>
      <c r="AC76" s="33">
        <v>1.82</v>
      </c>
      <c r="AD76" s="40">
        <f t="shared" si="48"/>
        <v>13.371911875228594</v>
      </c>
      <c r="AE76" s="40">
        <f t="shared" si="46"/>
        <v>13.371911875228594</v>
      </c>
      <c r="AG76" s="16">
        <f t="shared" si="49"/>
        <v>0.10185913880541166</v>
      </c>
      <c r="AH76" s="26">
        <f t="shared" si="50"/>
        <v>9.8174794301998478</v>
      </c>
      <c r="AJ76" s="85" t="str">
        <f t="shared" si="51"/>
        <v>NOEC</v>
      </c>
      <c r="AK76" s="9">
        <f t="shared" si="57"/>
        <v>1</v>
      </c>
      <c r="AL76" s="18">
        <f t="shared" si="52"/>
        <v>13.371911875228594</v>
      </c>
      <c r="AM76" s="88" t="str">
        <f t="shared" si="53"/>
        <v>Chronic</v>
      </c>
      <c r="AN76" s="9">
        <f t="shared" si="58"/>
        <v>1</v>
      </c>
      <c r="AO76" s="18">
        <f t="shared" si="59"/>
        <v>13.371911875228594</v>
      </c>
      <c r="AP76" s="16"/>
      <c r="AQ76" s="132" t="str">
        <f t="shared" si="54"/>
        <v>NOEC</v>
      </c>
      <c r="AR76" s="67" t="s">
        <v>356</v>
      </c>
      <c r="AS76" s="88" t="str">
        <f t="shared" si="55"/>
        <v>Chronic</v>
      </c>
      <c r="AT76" s="67" t="str">
        <f t="shared" ref="AT76:AT139" si="61">IF(AS76="chronic","y","n")</f>
        <v>y</v>
      </c>
      <c r="AU76" s="69" t="str">
        <f t="shared" si="41"/>
        <v>Length</v>
      </c>
      <c r="AV76" s="67" t="s">
        <v>473</v>
      </c>
      <c r="AW76" s="70">
        <f t="shared" si="42"/>
        <v>32</v>
      </c>
      <c r="AX76" s="67" t="s">
        <v>474</v>
      </c>
      <c r="AY76" s="67"/>
      <c r="AZ76" s="82">
        <f t="shared" si="56"/>
        <v>13.371911875228594</v>
      </c>
      <c r="BA76" s="81"/>
      <c r="BB76" s="78"/>
      <c r="BC76" s="133"/>
    </row>
    <row r="77" spans="1:61" ht="15" customHeight="1" x14ac:dyDescent="0.25">
      <c r="A77" s="32" t="s">
        <v>254</v>
      </c>
      <c r="B77" s="33">
        <v>237</v>
      </c>
      <c r="C77" s="34" t="s">
        <v>24</v>
      </c>
      <c r="D77" s="35" t="s">
        <v>236</v>
      </c>
      <c r="E77" s="33" t="s">
        <v>178</v>
      </c>
      <c r="F77" s="33" t="s">
        <v>179</v>
      </c>
      <c r="G77" s="33" t="s">
        <v>52</v>
      </c>
      <c r="H77" s="33" t="s">
        <v>572</v>
      </c>
      <c r="I77" s="48" t="s">
        <v>224</v>
      </c>
      <c r="J77" s="36" t="s">
        <v>208</v>
      </c>
      <c r="K77" s="36" t="s">
        <v>255</v>
      </c>
      <c r="L77" s="36" t="s">
        <v>54</v>
      </c>
      <c r="M77" s="36">
        <v>32</v>
      </c>
      <c r="N77" s="33" t="s">
        <v>55</v>
      </c>
      <c r="O77" s="37" t="s">
        <v>33</v>
      </c>
      <c r="P77" s="38" t="s">
        <v>237</v>
      </c>
      <c r="Q77" s="38" t="s">
        <v>900</v>
      </c>
      <c r="R77" s="33" t="s">
        <v>37</v>
      </c>
      <c r="S77" s="33" t="s">
        <v>37</v>
      </c>
      <c r="T77" s="33" t="s">
        <v>932</v>
      </c>
      <c r="U77" s="33" t="s">
        <v>238</v>
      </c>
      <c r="V77" s="33">
        <v>22.3</v>
      </c>
      <c r="W77" s="33" t="s">
        <v>241</v>
      </c>
      <c r="X77" s="33">
        <v>6.6</v>
      </c>
      <c r="Y77" s="49">
        <v>0.18584067349021094</v>
      </c>
      <c r="Z77" s="40">
        <v>13</v>
      </c>
      <c r="AA77" s="33">
        <v>34.200000000000003</v>
      </c>
      <c r="AB77" s="33">
        <v>34.200000000000003</v>
      </c>
      <c r="AC77" s="40">
        <v>13</v>
      </c>
      <c r="AD77" s="40">
        <f t="shared" si="48"/>
        <v>11.701678434502991</v>
      </c>
      <c r="AE77" s="40">
        <f t="shared" si="46"/>
        <v>11.701678434502991</v>
      </c>
      <c r="AG77" s="16">
        <f t="shared" si="49"/>
        <v>12.246161992650494</v>
      </c>
      <c r="AH77" s="26">
        <f t="shared" si="50"/>
        <v>8.1658237135859194E-2</v>
      </c>
      <c r="AJ77" s="85" t="str">
        <f t="shared" si="51"/>
        <v>NOEC</v>
      </c>
      <c r="AK77" s="9">
        <f t="shared" si="57"/>
        <v>1</v>
      </c>
      <c r="AL77" s="18">
        <f t="shared" si="52"/>
        <v>11.701678434502991</v>
      </c>
      <c r="AM77" s="88" t="str">
        <f t="shared" si="53"/>
        <v>Chronic</v>
      </c>
      <c r="AN77" s="9">
        <f t="shared" si="58"/>
        <v>1</v>
      </c>
      <c r="AO77" s="18">
        <f t="shared" si="59"/>
        <v>11.701678434502991</v>
      </c>
      <c r="AP77" s="16"/>
      <c r="AQ77" s="132" t="str">
        <f t="shared" si="54"/>
        <v>NOEC</v>
      </c>
      <c r="AR77" s="67" t="s">
        <v>356</v>
      </c>
      <c r="AS77" s="88" t="str">
        <f t="shared" si="55"/>
        <v>Chronic</v>
      </c>
      <c r="AT77" s="67" t="str">
        <f t="shared" si="61"/>
        <v>y</v>
      </c>
      <c r="AU77" s="69" t="str">
        <f t="shared" si="41"/>
        <v>wet weight</v>
      </c>
      <c r="AV77" s="67" t="s">
        <v>475</v>
      </c>
      <c r="AW77" s="70">
        <f t="shared" si="42"/>
        <v>32</v>
      </c>
      <c r="AX77" s="67" t="s">
        <v>476</v>
      </c>
      <c r="AY77" s="67"/>
      <c r="AZ77" s="82">
        <f t="shared" si="56"/>
        <v>11.701678434502991</v>
      </c>
      <c r="BA77" s="72">
        <f>GEOMEAN(AZ77:AZ80)</f>
        <v>14.532688573906325</v>
      </c>
      <c r="BB77" s="73">
        <f>MIN(BA77)</f>
        <v>14.532688573906325</v>
      </c>
      <c r="BC77" s="133"/>
    </row>
    <row r="78" spans="1:61" ht="16" x14ac:dyDescent="0.25">
      <c r="A78" s="32" t="s">
        <v>256</v>
      </c>
      <c r="B78" s="33">
        <v>237</v>
      </c>
      <c r="C78" s="34" t="s">
        <v>24</v>
      </c>
      <c r="D78" s="35" t="s">
        <v>236</v>
      </c>
      <c r="E78" s="33" t="s">
        <v>178</v>
      </c>
      <c r="F78" s="33" t="s">
        <v>179</v>
      </c>
      <c r="G78" s="33" t="s">
        <v>52</v>
      </c>
      <c r="H78" s="33" t="s">
        <v>572</v>
      </c>
      <c r="I78" s="36" t="s">
        <v>224</v>
      </c>
      <c r="J78" s="36" t="s">
        <v>208</v>
      </c>
      <c r="K78" s="36" t="s">
        <v>220</v>
      </c>
      <c r="L78" s="36" t="s">
        <v>54</v>
      </c>
      <c r="M78" s="36">
        <v>32</v>
      </c>
      <c r="N78" s="33" t="s">
        <v>55</v>
      </c>
      <c r="O78" s="37" t="s">
        <v>33</v>
      </c>
      <c r="P78" s="38" t="s">
        <v>237</v>
      </c>
      <c r="Q78" s="38" t="s">
        <v>900</v>
      </c>
      <c r="R78" s="33" t="s">
        <v>37</v>
      </c>
      <c r="S78" s="33" t="s">
        <v>37</v>
      </c>
      <c r="T78" s="33" t="s">
        <v>933</v>
      </c>
      <c r="U78" s="33" t="s">
        <v>238</v>
      </c>
      <c r="V78" s="33">
        <v>22.3</v>
      </c>
      <c r="W78" s="33" t="s">
        <v>243</v>
      </c>
      <c r="X78" s="33">
        <v>7.25</v>
      </c>
      <c r="Y78" s="49">
        <v>0.82480574480836111</v>
      </c>
      <c r="Z78" s="33">
        <v>11.2</v>
      </c>
      <c r="AA78" s="33">
        <v>120</v>
      </c>
      <c r="AB78" s="33">
        <v>120</v>
      </c>
      <c r="AC78" s="33">
        <v>11.2</v>
      </c>
      <c r="AD78" s="40">
        <f t="shared" si="48"/>
        <v>12.637235797981246</v>
      </c>
      <c r="AE78" s="40">
        <f t="shared" si="46"/>
        <v>12.637235797981246</v>
      </c>
      <c r="AG78" s="16">
        <f t="shared" si="49"/>
        <v>2.7415741719278812</v>
      </c>
      <c r="AH78" s="26">
        <f t="shared" si="50"/>
        <v>0.36475394692560797</v>
      </c>
      <c r="AJ78" s="85" t="str">
        <f t="shared" si="51"/>
        <v>NOEC</v>
      </c>
      <c r="AK78" s="9">
        <f t="shared" si="57"/>
        <v>1</v>
      </c>
      <c r="AL78" s="18">
        <f t="shared" si="52"/>
        <v>12.637235797981246</v>
      </c>
      <c r="AM78" s="88" t="str">
        <f t="shared" si="53"/>
        <v>Chronic</v>
      </c>
      <c r="AN78" s="9">
        <f t="shared" si="58"/>
        <v>1</v>
      </c>
      <c r="AO78" s="18">
        <f t="shared" si="59"/>
        <v>12.637235797981246</v>
      </c>
      <c r="AP78" s="16"/>
      <c r="AQ78" s="132" t="str">
        <f t="shared" si="54"/>
        <v>NOEC</v>
      </c>
      <c r="AR78" s="67" t="s">
        <v>356</v>
      </c>
      <c r="AS78" s="88" t="str">
        <f t="shared" si="55"/>
        <v>Chronic</v>
      </c>
      <c r="AT78" s="67" t="str">
        <f t="shared" si="61"/>
        <v>y</v>
      </c>
      <c r="AU78" s="69" t="str">
        <f t="shared" si="41"/>
        <v>Wet weight</v>
      </c>
      <c r="AV78" s="67" t="s">
        <v>475</v>
      </c>
      <c r="AW78" s="70">
        <f t="shared" si="42"/>
        <v>32</v>
      </c>
      <c r="AX78" s="67" t="s">
        <v>476</v>
      </c>
      <c r="AY78" s="67"/>
      <c r="AZ78" s="82">
        <f t="shared" si="56"/>
        <v>12.637235797981246</v>
      </c>
      <c r="BA78" s="81"/>
      <c r="BB78" s="78"/>
      <c r="BC78" s="133"/>
    </row>
    <row r="79" spans="1:61" ht="15" customHeight="1" x14ac:dyDescent="0.25">
      <c r="A79" s="32" t="s">
        <v>257</v>
      </c>
      <c r="B79" s="33">
        <v>237</v>
      </c>
      <c r="C79" s="34" t="s">
        <v>24</v>
      </c>
      <c r="D79" s="35" t="s">
        <v>236</v>
      </c>
      <c r="E79" s="33" t="s">
        <v>178</v>
      </c>
      <c r="F79" s="33" t="s">
        <v>179</v>
      </c>
      <c r="G79" s="33" t="s">
        <v>52</v>
      </c>
      <c r="H79" s="33" t="s">
        <v>572</v>
      </c>
      <c r="I79" s="36" t="s">
        <v>224</v>
      </c>
      <c r="J79" s="36" t="s">
        <v>219</v>
      </c>
      <c r="K79" s="36" t="s">
        <v>220</v>
      </c>
      <c r="L79" s="36" t="s">
        <v>54</v>
      </c>
      <c r="M79" s="36">
        <v>32</v>
      </c>
      <c r="N79" s="33" t="s">
        <v>55</v>
      </c>
      <c r="O79" s="37" t="s">
        <v>33</v>
      </c>
      <c r="P79" s="38" t="s">
        <v>237</v>
      </c>
      <c r="Q79" s="38" t="s">
        <v>900</v>
      </c>
      <c r="R79" s="33" t="s">
        <v>37</v>
      </c>
      <c r="S79" s="33" t="s">
        <v>37</v>
      </c>
      <c r="T79" s="33" t="s">
        <v>934</v>
      </c>
      <c r="U79" s="33" t="s">
        <v>238</v>
      </c>
      <c r="V79" s="33">
        <v>22.3</v>
      </c>
      <c r="W79" s="33" t="s">
        <v>248</v>
      </c>
      <c r="X79" s="33">
        <v>7.83</v>
      </c>
      <c r="Y79" s="49">
        <v>3.0649914701603156</v>
      </c>
      <c r="Z79" s="33">
        <v>11.7</v>
      </c>
      <c r="AA79" s="33">
        <v>472</v>
      </c>
      <c r="AB79" s="33">
        <v>472</v>
      </c>
      <c r="AC79" s="33">
        <v>11.7</v>
      </c>
      <c r="AD79" s="40">
        <f t="shared" si="48"/>
        <v>22.557455731434633</v>
      </c>
      <c r="AE79" s="40">
        <f t="shared" si="46"/>
        <v>22.557455731434633</v>
      </c>
      <c r="AG79" s="16">
        <f t="shared" si="49"/>
        <v>0.72110747918289908</v>
      </c>
      <c r="AH79" s="26">
        <f t="shared" si="50"/>
        <v>1.3867558288718895</v>
      </c>
      <c r="AJ79" s="85" t="str">
        <f t="shared" si="51"/>
        <v>NOEC</v>
      </c>
      <c r="AK79" s="9">
        <f t="shared" si="57"/>
        <v>1</v>
      </c>
      <c r="AL79" s="18">
        <f t="shared" si="52"/>
        <v>22.557455731434633</v>
      </c>
      <c r="AM79" s="88" t="str">
        <f t="shared" si="53"/>
        <v>Chronic</v>
      </c>
      <c r="AN79" s="9">
        <f t="shared" si="58"/>
        <v>1</v>
      </c>
      <c r="AO79" s="18">
        <f t="shared" si="59"/>
        <v>22.557455731434633</v>
      </c>
      <c r="AP79" s="16"/>
      <c r="AQ79" s="132" t="str">
        <f t="shared" si="54"/>
        <v>NOEC</v>
      </c>
      <c r="AR79" s="67" t="s">
        <v>356</v>
      </c>
      <c r="AS79" s="88" t="str">
        <f t="shared" si="55"/>
        <v>Chronic</v>
      </c>
      <c r="AT79" s="67" t="str">
        <f t="shared" si="61"/>
        <v>y</v>
      </c>
      <c r="AU79" s="69" t="str">
        <f t="shared" si="41"/>
        <v>Wet weight</v>
      </c>
      <c r="AV79" s="67" t="s">
        <v>475</v>
      </c>
      <c r="AW79" s="70">
        <f t="shared" si="42"/>
        <v>32</v>
      </c>
      <c r="AX79" s="67" t="s">
        <v>476</v>
      </c>
      <c r="AY79" s="67"/>
      <c r="AZ79" s="82">
        <f t="shared" si="56"/>
        <v>22.557455731434633</v>
      </c>
      <c r="BA79" s="81"/>
      <c r="BB79" s="78"/>
      <c r="BC79" s="133"/>
    </row>
    <row r="80" spans="1:61" ht="15" customHeight="1" x14ac:dyDescent="0.25">
      <c r="A80" s="32" t="s">
        <v>258</v>
      </c>
      <c r="B80" s="33">
        <v>237</v>
      </c>
      <c r="C80" s="34" t="s">
        <v>24</v>
      </c>
      <c r="D80" s="35" t="s">
        <v>236</v>
      </c>
      <c r="E80" s="33" t="s">
        <v>178</v>
      </c>
      <c r="F80" s="33" t="s">
        <v>179</v>
      </c>
      <c r="G80" s="33" t="s">
        <v>52</v>
      </c>
      <c r="H80" s="33" t="s">
        <v>572</v>
      </c>
      <c r="I80" s="36" t="s">
        <v>224</v>
      </c>
      <c r="J80" s="36" t="s">
        <v>208</v>
      </c>
      <c r="K80" s="36" t="s">
        <v>220</v>
      </c>
      <c r="L80" s="36" t="s">
        <v>54</v>
      </c>
      <c r="M80" s="36">
        <v>32</v>
      </c>
      <c r="N80" s="33" t="s">
        <v>55</v>
      </c>
      <c r="O80" s="37" t="s">
        <v>33</v>
      </c>
      <c r="P80" s="38" t="s">
        <v>237</v>
      </c>
      <c r="Q80" s="38" t="s">
        <v>900</v>
      </c>
      <c r="R80" s="33" t="s">
        <v>37</v>
      </c>
      <c r="S80" s="33" t="s">
        <v>37</v>
      </c>
      <c r="T80" s="33" t="s">
        <v>935</v>
      </c>
      <c r="U80" s="33" t="s">
        <v>238</v>
      </c>
      <c r="V80" s="33">
        <v>22.3</v>
      </c>
      <c r="W80" s="33" t="s">
        <v>239</v>
      </c>
      <c r="X80" s="33">
        <v>8.68</v>
      </c>
      <c r="Y80" s="49">
        <v>18.290348329853874</v>
      </c>
      <c r="Z80" s="33">
        <v>1.82</v>
      </c>
      <c r="AA80" s="33">
        <v>433</v>
      </c>
      <c r="AB80" s="33">
        <v>433</v>
      </c>
      <c r="AC80" s="33">
        <v>1.82</v>
      </c>
      <c r="AD80" s="40">
        <f t="shared" si="48"/>
        <v>13.371911875228594</v>
      </c>
      <c r="AE80" s="40">
        <f t="shared" si="46"/>
        <v>13.371911875228594</v>
      </c>
      <c r="AG80" s="16">
        <f t="shared" si="49"/>
        <v>0.10185913880541166</v>
      </c>
      <c r="AH80" s="26">
        <f t="shared" si="50"/>
        <v>9.8174794301998478</v>
      </c>
      <c r="AJ80" s="85" t="str">
        <f t="shared" si="51"/>
        <v>NOEC</v>
      </c>
      <c r="AK80" s="9">
        <f t="shared" si="57"/>
        <v>1</v>
      </c>
      <c r="AL80" s="18">
        <f t="shared" si="52"/>
        <v>13.371911875228594</v>
      </c>
      <c r="AM80" s="88" t="str">
        <f t="shared" si="53"/>
        <v>Chronic</v>
      </c>
      <c r="AN80" s="9">
        <f t="shared" si="58"/>
        <v>1</v>
      </c>
      <c r="AO80" s="18">
        <f t="shared" si="59"/>
        <v>13.371911875228594</v>
      </c>
      <c r="AP80" s="16"/>
      <c r="AQ80" s="132" t="str">
        <f t="shared" si="54"/>
        <v>NOEC</v>
      </c>
      <c r="AR80" s="67" t="s">
        <v>356</v>
      </c>
      <c r="AS80" s="88" t="str">
        <f t="shared" si="55"/>
        <v>Chronic</v>
      </c>
      <c r="AT80" s="67" t="str">
        <f t="shared" si="61"/>
        <v>y</v>
      </c>
      <c r="AU80" s="69" t="str">
        <f t="shared" si="41"/>
        <v>Wet weight</v>
      </c>
      <c r="AV80" s="67" t="s">
        <v>475</v>
      </c>
      <c r="AW80" s="70">
        <f t="shared" si="42"/>
        <v>32</v>
      </c>
      <c r="AX80" s="67" t="s">
        <v>476</v>
      </c>
      <c r="AY80" s="67"/>
      <c r="AZ80" s="82">
        <f t="shared" si="56"/>
        <v>13.371911875228594</v>
      </c>
      <c r="BA80" s="81"/>
      <c r="BB80" s="78"/>
      <c r="BC80" s="133"/>
      <c r="BD80" s="16"/>
      <c r="BE80" s="16"/>
      <c r="BF80" s="16"/>
      <c r="BG80" s="16"/>
      <c r="BH80" s="16"/>
      <c r="BI80" s="16"/>
    </row>
    <row r="81" spans="1:61" ht="15" customHeight="1" x14ac:dyDescent="0.25">
      <c r="A81" s="19" t="s">
        <v>259</v>
      </c>
      <c r="B81" s="19" t="s">
        <v>260</v>
      </c>
      <c r="C81" s="10" t="s">
        <v>24</v>
      </c>
      <c r="D81" s="11" t="s">
        <v>261</v>
      </c>
      <c r="E81" s="9" t="s">
        <v>178</v>
      </c>
      <c r="F81" s="9" t="s">
        <v>179</v>
      </c>
      <c r="G81" s="9" t="s">
        <v>93</v>
      </c>
      <c r="H81" s="9" t="s">
        <v>572</v>
      </c>
      <c r="I81" s="9" t="s">
        <v>262</v>
      </c>
      <c r="J81" s="12" t="s">
        <v>263</v>
      </c>
      <c r="K81" s="12" t="s">
        <v>109</v>
      </c>
      <c r="L81" s="9" t="s">
        <v>54</v>
      </c>
      <c r="M81" s="12">
        <v>30</v>
      </c>
      <c r="N81" s="9" t="s">
        <v>55</v>
      </c>
      <c r="O81" s="9" t="s">
        <v>33</v>
      </c>
      <c r="P81" s="14" t="s">
        <v>264</v>
      </c>
      <c r="Q81" s="14" t="s">
        <v>900</v>
      </c>
      <c r="R81" s="9" t="s">
        <v>37</v>
      </c>
      <c r="S81" s="9" t="s">
        <v>37</v>
      </c>
      <c r="T81" s="9" t="s">
        <v>936</v>
      </c>
      <c r="U81" s="9" t="s">
        <v>265</v>
      </c>
      <c r="V81" s="9">
        <v>23.9</v>
      </c>
      <c r="W81" s="9" t="s">
        <v>266</v>
      </c>
      <c r="X81" s="9">
        <v>7.94</v>
      </c>
      <c r="Y81" s="173">
        <v>4.3683648631941594</v>
      </c>
      <c r="Z81" s="9">
        <v>8.0500000000000007</v>
      </c>
      <c r="AA81" s="9">
        <v>480</v>
      </c>
      <c r="AB81" s="9">
        <v>480</v>
      </c>
      <c r="AC81" s="9">
        <v>8.0500000000000007</v>
      </c>
      <c r="AD81" s="15">
        <f t="shared" si="48"/>
        <v>17.958422154385822</v>
      </c>
      <c r="AE81" s="15">
        <f t="shared" ref="AE81:AE88" si="62">AD81</f>
        <v>17.958422154385822</v>
      </c>
      <c r="AG81" s="16">
        <f t="shared" si="49"/>
        <v>0.55975760149510934</v>
      </c>
      <c r="AH81" s="26">
        <f t="shared" si="50"/>
        <v>1.7864875748520535</v>
      </c>
      <c r="AJ81" s="85" t="str">
        <f t="shared" si="51"/>
        <v>NOEC</v>
      </c>
      <c r="AK81" s="9">
        <f t="shared" si="57"/>
        <v>1</v>
      </c>
      <c r="AL81" s="18">
        <f t="shared" si="52"/>
        <v>17.958422154385822</v>
      </c>
      <c r="AM81" s="88" t="str">
        <f t="shared" si="53"/>
        <v>Chronic</v>
      </c>
      <c r="AN81" s="9">
        <f t="shared" si="58"/>
        <v>1</v>
      </c>
      <c r="AO81" s="18">
        <f t="shared" si="59"/>
        <v>17.958422154385822</v>
      </c>
      <c r="AP81" s="16"/>
      <c r="AQ81" s="101" t="str">
        <f t="shared" si="54"/>
        <v>NOEC</v>
      </c>
      <c r="AR81" s="102" t="s">
        <v>356</v>
      </c>
      <c r="AS81" s="103" t="str">
        <f t="shared" si="55"/>
        <v>Chronic</v>
      </c>
      <c r="AT81" s="102" t="str">
        <f t="shared" si="61"/>
        <v>y</v>
      </c>
      <c r="AU81" s="104" t="str">
        <f t="shared" si="41"/>
        <v>Survival</v>
      </c>
      <c r="AV81" s="158" t="s">
        <v>459</v>
      </c>
      <c r="AW81" s="105">
        <f t="shared" si="42"/>
        <v>30</v>
      </c>
      <c r="AX81" s="158" t="s">
        <v>460</v>
      </c>
      <c r="AY81" s="157"/>
      <c r="AZ81" s="147">
        <f t="shared" si="56"/>
        <v>17.958422154385822</v>
      </c>
      <c r="BA81" s="118">
        <f>GEOMEAN(AZ81:AZ81)</f>
        <v>17.958422154385822</v>
      </c>
      <c r="BB81" s="119">
        <f>MIN(BA81)</f>
        <v>17.958422154385822</v>
      </c>
      <c r="BC81" s="109">
        <f>MIN(BB81)</f>
        <v>17.958422154385822</v>
      </c>
      <c r="BD81" t="s">
        <v>513</v>
      </c>
      <c r="BF81" s="16"/>
      <c r="BG81" s="16"/>
      <c r="BH81" s="16"/>
      <c r="BI81" s="16"/>
    </row>
    <row r="82" spans="1:61" ht="15" customHeight="1" x14ac:dyDescent="0.25">
      <c r="A82" s="19" t="s">
        <v>267</v>
      </c>
      <c r="B82" s="19" t="s">
        <v>260</v>
      </c>
      <c r="C82" s="10" t="s">
        <v>24</v>
      </c>
      <c r="D82" s="11" t="s">
        <v>261</v>
      </c>
      <c r="E82" s="9" t="s">
        <v>178</v>
      </c>
      <c r="F82" s="9" t="s">
        <v>179</v>
      </c>
      <c r="G82" s="9" t="s">
        <v>93</v>
      </c>
      <c r="H82" s="9" t="s">
        <v>572</v>
      </c>
      <c r="I82" s="9" t="s">
        <v>128</v>
      </c>
      <c r="J82" s="12" t="s">
        <v>136</v>
      </c>
      <c r="K82" s="12" t="s">
        <v>268</v>
      </c>
      <c r="L82" s="9" t="s">
        <v>54</v>
      </c>
      <c r="M82" s="12">
        <v>30</v>
      </c>
      <c r="N82" s="9" t="s">
        <v>55</v>
      </c>
      <c r="O82" s="9" t="s">
        <v>33</v>
      </c>
      <c r="P82" s="14" t="s">
        <v>264</v>
      </c>
      <c r="Q82" s="14" t="s">
        <v>900</v>
      </c>
      <c r="R82" s="9" t="s">
        <v>37</v>
      </c>
      <c r="S82" s="9" t="s">
        <v>37</v>
      </c>
      <c r="T82" s="9" t="s">
        <v>936</v>
      </c>
      <c r="U82" s="9" t="s">
        <v>269</v>
      </c>
      <c r="V82" s="9">
        <v>12.4</v>
      </c>
      <c r="W82" s="9" t="s">
        <v>270</v>
      </c>
      <c r="X82" s="9">
        <v>8.07</v>
      </c>
      <c r="Y82" s="173">
        <v>2.5605754978752735</v>
      </c>
      <c r="Z82" s="9">
        <v>6.65</v>
      </c>
      <c r="AA82" s="9">
        <v>230</v>
      </c>
      <c r="AB82" s="9">
        <v>230</v>
      </c>
      <c r="AC82" s="9">
        <v>6.65</v>
      </c>
      <c r="AD82" s="15">
        <f t="shared" si="48"/>
        <v>17.90583858841611</v>
      </c>
      <c r="AE82" s="15">
        <f t="shared" si="62"/>
        <v>17.90583858841611</v>
      </c>
      <c r="AG82" s="16">
        <f t="shared" si="49"/>
        <v>0.41495404263436242</v>
      </c>
      <c r="AH82" s="26">
        <f t="shared" si="50"/>
        <v>2.409905428686598</v>
      </c>
      <c r="AJ82" s="85" t="str">
        <f t="shared" si="51"/>
        <v>NOEC</v>
      </c>
      <c r="AK82" s="9">
        <f t="shared" si="57"/>
        <v>1</v>
      </c>
      <c r="AL82" s="18">
        <f t="shared" si="52"/>
        <v>17.90583858841611</v>
      </c>
      <c r="AM82" s="88" t="str">
        <f t="shared" si="53"/>
        <v>Chronic</v>
      </c>
      <c r="AN82" s="9">
        <f t="shared" si="58"/>
        <v>1</v>
      </c>
      <c r="AO82" s="18">
        <f t="shared" si="59"/>
        <v>17.90583858841611</v>
      </c>
      <c r="AP82" s="16"/>
      <c r="AQ82" s="110" t="str">
        <f t="shared" si="54"/>
        <v>NOEC</v>
      </c>
      <c r="AR82" s="111" t="s">
        <v>356</v>
      </c>
      <c r="AS82" s="112" t="str">
        <f t="shared" si="55"/>
        <v>Chronic</v>
      </c>
      <c r="AT82" s="111" t="str">
        <f t="shared" si="61"/>
        <v>y</v>
      </c>
      <c r="AU82" s="134" t="str">
        <f t="shared" si="41"/>
        <v>Specific growth rate</v>
      </c>
      <c r="AV82" s="111" t="s">
        <v>473</v>
      </c>
      <c r="AW82" s="114">
        <f t="shared" si="42"/>
        <v>30</v>
      </c>
      <c r="AX82" s="111" t="s">
        <v>474</v>
      </c>
      <c r="AY82" s="111"/>
      <c r="AZ82" s="138">
        <f t="shared" si="56"/>
        <v>17.90583858841611</v>
      </c>
      <c r="BA82" s="140">
        <f>GEOMEAN(AZ82:AZ82)</f>
        <v>17.90583858841611</v>
      </c>
      <c r="BB82" s="141">
        <f>MIN(BA82)</f>
        <v>17.90583858841611</v>
      </c>
      <c r="BC82" s="142"/>
      <c r="BD82" s="16" t="s">
        <v>500</v>
      </c>
    </row>
    <row r="83" spans="1:61" ht="16" x14ac:dyDescent="0.25">
      <c r="A83" s="32" t="s">
        <v>271</v>
      </c>
      <c r="B83" s="33">
        <v>249</v>
      </c>
      <c r="C83" s="34" t="s">
        <v>24</v>
      </c>
      <c r="D83" s="35" t="s">
        <v>272</v>
      </c>
      <c r="E83" s="33" t="s">
        <v>178</v>
      </c>
      <c r="F83" s="33" t="s">
        <v>179</v>
      </c>
      <c r="G83" s="33" t="s">
        <v>52</v>
      </c>
      <c r="H83" s="33" t="s">
        <v>572</v>
      </c>
      <c r="I83" s="48" t="s">
        <v>273</v>
      </c>
      <c r="J83" s="36" t="s">
        <v>53</v>
      </c>
      <c r="K83" s="36" t="s">
        <v>53</v>
      </c>
      <c r="L83" s="36" t="s">
        <v>112</v>
      </c>
      <c r="M83" s="36">
        <v>29</v>
      </c>
      <c r="N83" s="33" t="s">
        <v>55</v>
      </c>
      <c r="O83" s="37" t="s">
        <v>33</v>
      </c>
      <c r="P83" s="38" t="s">
        <v>274</v>
      </c>
      <c r="Q83" s="38" t="s">
        <v>900</v>
      </c>
      <c r="R83" s="33" t="s">
        <v>938</v>
      </c>
      <c r="S83" s="33" t="s">
        <v>37</v>
      </c>
      <c r="T83" s="33">
        <v>199</v>
      </c>
      <c r="U83" s="33" t="s">
        <v>275</v>
      </c>
      <c r="V83" s="33">
        <v>13.1</v>
      </c>
      <c r="W83" s="33" t="s">
        <v>276</v>
      </c>
      <c r="X83" s="33">
        <v>7.81</v>
      </c>
      <c r="Y83" s="46">
        <v>1.5011113288687636</v>
      </c>
      <c r="Z83" s="33">
        <v>30.8</v>
      </c>
      <c r="AA83" s="33" t="s">
        <v>277</v>
      </c>
      <c r="AB83" s="39">
        <v>461.1764705882353</v>
      </c>
      <c r="AC83" s="33">
        <v>30.8</v>
      </c>
      <c r="AD83" s="40">
        <f t="shared" si="48"/>
        <v>57.91033205761628</v>
      </c>
      <c r="AE83" s="40">
        <f t="shared" si="62"/>
        <v>57.91033205761628</v>
      </c>
      <c r="AG83" s="16">
        <f t="shared" si="49"/>
        <v>0.75509222766543405</v>
      </c>
      <c r="AH83" s="26">
        <f t="shared" si="50"/>
        <v>1.3243415351946644</v>
      </c>
      <c r="AJ83" s="85" t="str">
        <f t="shared" si="51"/>
        <v>LC50</v>
      </c>
      <c r="AK83" s="9">
        <f t="shared" si="57"/>
        <v>5</v>
      </c>
      <c r="AL83" s="18">
        <f t="shared" si="52"/>
        <v>11.582066411523256</v>
      </c>
      <c r="AM83" s="88" t="str">
        <f t="shared" si="53"/>
        <v>Chronic</v>
      </c>
      <c r="AN83" s="9">
        <f t="shared" si="58"/>
        <v>1</v>
      </c>
      <c r="AO83" s="18">
        <f t="shared" si="59"/>
        <v>11.582066411523256</v>
      </c>
      <c r="AP83" s="16"/>
      <c r="AQ83" s="101" t="str">
        <f t="shared" si="54"/>
        <v>LC50</v>
      </c>
      <c r="AR83" s="102" t="s">
        <v>463</v>
      </c>
      <c r="AS83" s="103" t="str">
        <f t="shared" si="55"/>
        <v>Chronic</v>
      </c>
      <c r="AT83" s="102" t="str">
        <f t="shared" si="61"/>
        <v>y</v>
      </c>
      <c r="AU83" s="104" t="str">
        <f t="shared" si="41"/>
        <v>Mortality</v>
      </c>
      <c r="AV83" s="158" t="s">
        <v>459</v>
      </c>
      <c r="AW83" s="105">
        <f t="shared" si="42"/>
        <v>29</v>
      </c>
      <c r="AX83" s="158" t="s">
        <v>460</v>
      </c>
      <c r="AY83" s="157"/>
      <c r="AZ83" s="147">
        <f t="shared" si="56"/>
        <v>11.582066411523256</v>
      </c>
      <c r="BA83" s="169">
        <f>GEOMEAN(AZ83:AZ86)</f>
        <v>9.635468631441432</v>
      </c>
      <c r="BB83" s="169">
        <f>MIN(BA83:BA88)</f>
        <v>9.635468631441432</v>
      </c>
      <c r="BC83" s="126">
        <f>MIN(BB83)</f>
        <v>9.635468631441432</v>
      </c>
    </row>
    <row r="84" spans="1:61" ht="15" customHeight="1" x14ac:dyDescent="0.25">
      <c r="A84" s="32" t="s">
        <v>278</v>
      </c>
      <c r="B84" s="33">
        <v>249</v>
      </c>
      <c r="C84" s="34" t="s">
        <v>24</v>
      </c>
      <c r="D84" s="35" t="s">
        <v>272</v>
      </c>
      <c r="E84" s="33" t="s">
        <v>178</v>
      </c>
      <c r="F84" s="33" t="s">
        <v>179</v>
      </c>
      <c r="G84" s="33" t="s">
        <v>52</v>
      </c>
      <c r="H84" s="33" t="s">
        <v>572</v>
      </c>
      <c r="I84" s="48" t="s">
        <v>273</v>
      </c>
      <c r="J84" s="36" t="s">
        <v>53</v>
      </c>
      <c r="K84" s="36" t="s">
        <v>53</v>
      </c>
      <c r="L84" s="36" t="s">
        <v>112</v>
      </c>
      <c r="M84" s="36">
        <v>29</v>
      </c>
      <c r="N84" s="33" t="s">
        <v>55</v>
      </c>
      <c r="O84" s="37" t="s">
        <v>33</v>
      </c>
      <c r="P84" s="38" t="s">
        <v>274</v>
      </c>
      <c r="Q84" s="38" t="s">
        <v>900</v>
      </c>
      <c r="R84" s="33" t="s">
        <v>938</v>
      </c>
      <c r="S84" s="33" t="s">
        <v>37</v>
      </c>
      <c r="T84" s="33">
        <v>199</v>
      </c>
      <c r="U84" s="33" t="s">
        <v>279</v>
      </c>
      <c r="V84" s="33">
        <v>12.8</v>
      </c>
      <c r="W84" s="33" t="s">
        <v>280</v>
      </c>
      <c r="X84" s="33">
        <v>7.8</v>
      </c>
      <c r="Y84" s="46">
        <v>1.4345017024743481</v>
      </c>
      <c r="Z84" s="33">
        <v>32.200000000000003</v>
      </c>
      <c r="AA84" s="33" t="s">
        <v>277</v>
      </c>
      <c r="AB84" s="39">
        <v>461.1764705882353</v>
      </c>
      <c r="AC84" s="33">
        <v>32.200000000000003</v>
      </c>
      <c r="AD84" s="40">
        <f t="shared" si="48"/>
        <v>59.797946508155967</v>
      </c>
      <c r="AE84" s="40">
        <f t="shared" si="62"/>
        <v>59.797946508155967</v>
      </c>
      <c r="AG84" s="16">
        <f t="shared" si="49"/>
        <v>0.77268058509570214</v>
      </c>
      <c r="AH84" s="26">
        <f t="shared" si="50"/>
        <v>1.2941958414499863</v>
      </c>
      <c r="AJ84" s="85" t="str">
        <f t="shared" si="51"/>
        <v>LC50</v>
      </c>
      <c r="AK84" s="9">
        <f t="shared" si="57"/>
        <v>5</v>
      </c>
      <c r="AL84" s="18">
        <f t="shared" si="52"/>
        <v>11.959589301631194</v>
      </c>
      <c r="AM84" s="88" t="str">
        <f t="shared" si="53"/>
        <v>Chronic</v>
      </c>
      <c r="AN84" s="9">
        <f t="shared" si="58"/>
        <v>1</v>
      </c>
      <c r="AO84" s="18">
        <f t="shared" si="59"/>
        <v>11.959589301631194</v>
      </c>
      <c r="AP84" s="16"/>
      <c r="AQ84" s="132" t="str">
        <f t="shared" si="54"/>
        <v>LC50</v>
      </c>
      <c r="AR84" s="67" t="s">
        <v>463</v>
      </c>
      <c r="AS84" s="88" t="str">
        <f t="shared" si="55"/>
        <v>Chronic</v>
      </c>
      <c r="AT84" s="67" t="str">
        <f t="shared" si="61"/>
        <v>y</v>
      </c>
      <c r="AU84" s="69" t="str">
        <f t="shared" si="41"/>
        <v>Mortality</v>
      </c>
      <c r="AV84" s="67" t="s">
        <v>459</v>
      </c>
      <c r="AW84" s="70">
        <f t="shared" si="42"/>
        <v>29</v>
      </c>
      <c r="AX84" s="67" t="s">
        <v>460</v>
      </c>
      <c r="AY84" s="67"/>
      <c r="AZ84" s="82">
        <f t="shared" si="56"/>
        <v>11.959589301631194</v>
      </c>
      <c r="BA84" s="170"/>
      <c r="BB84" s="164"/>
      <c r="BC84" s="150"/>
    </row>
    <row r="85" spans="1:61" ht="16" x14ac:dyDescent="0.25">
      <c r="A85" s="32" t="s">
        <v>281</v>
      </c>
      <c r="B85" s="33">
        <v>249</v>
      </c>
      <c r="C85" s="34" t="s">
        <v>24</v>
      </c>
      <c r="D85" s="35" t="s">
        <v>272</v>
      </c>
      <c r="E85" s="33" t="s">
        <v>178</v>
      </c>
      <c r="F85" s="33" t="s">
        <v>179</v>
      </c>
      <c r="G85" s="33" t="s">
        <v>52</v>
      </c>
      <c r="H85" s="33" t="s">
        <v>572</v>
      </c>
      <c r="I85" s="48" t="s">
        <v>282</v>
      </c>
      <c r="J85" s="36" t="s">
        <v>53</v>
      </c>
      <c r="K85" s="36" t="s">
        <v>53</v>
      </c>
      <c r="L85" s="36" t="s">
        <v>112</v>
      </c>
      <c r="M85" s="36">
        <v>29</v>
      </c>
      <c r="N85" s="33" t="s">
        <v>55</v>
      </c>
      <c r="O85" s="37" t="s">
        <v>33</v>
      </c>
      <c r="P85" s="38" t="s">
        <v>274</v>
      </c>
      <c r="Q85" s="38" t="s">
        <v>900</v>
      </c>
      <c r="R85" s="33" t="s">
        <v>938</v>
      </c>
      <c r="S85" s="33" t="s">
        <v>37</v>
      </c>
      <c r="T85" s="33">
        <v>199</v>
      </c>
      <c r="U85" s="33" t="s">
        <v>283</v>
      </c>
      <c r="V85" s="33">
        <v>12.4</v>
      </c>
      <c r="W85" s="33" t="s">
        <v>284</v>
      </c>
      <c r="X85" s="33">
        <v>7.8</v>
      </c>
      <c r="Y85" s="46">
        <v>1.3916074795084696</v>
      </c>
      <c r="Z85" s="33">
        <v>21.6</v>
      </c>
      <c r="AA85" s="33" t="s">
        <v>285</v>
      </c>
      <c r="AB85" s="39">
        <v>304.70588235294116</v>
      </c>
      <c r="AC85" s="33">
        <v>21.6</v>
      </c>
      <c r="AD85" s="40">
        <f t="shared" si="48"/>
        <v>40.112908216651206</v>
      </c>
      <c r="AE85" s="40">
        <f t="shared" si="62"/>
        <v>40.112908216651206</v>
      </c>
      <c r="AG85" s="16">
        <f t="shared" si="49"/>
        <v>0.77268058509570214</v>
      </c>
      <c r="AH85" s="26">
        <f t="shared" si="50"/>
        <v>1.2941958414499863</v>
      </c>
      <c r="AJ85" s="85" t="str">
        <f t="shared" si="51"/>
        <v>LC50</v>
      </c>
      <c r="AK85" s="9">
        <f t="shared" si="57"/>
        <v>5</v>
      </c>
      <c r="AL85" s="18">
        <f t="shared" si="52"/>
        <v>8.0225816433302413</v>
      </c>
      <c r="AM85" s="88" t="str">
        <f t="shared" si="53"/>
        <v>Chronic</v>
      </c>
      <c r="AN85" s="9">
        <f t="shared" si="58"/>
        <v>1</v>
      </c>
      <c r="AO85" s="18">
        <f t="shared" si="59"/>
        <v>8.0225816433302413</v>
      </c>
      <c r="AP85" s="16"/>
      <c r="AQ85" s="132" t="str">
        <f t="shared" si="54"/>
        <v>LC50</v>
      </c>
      <c r="AR85" s="67" t="s">
        <v>463</v>
      </c>
      <c r="AS85" s="88" t="str">
        <f t="shared" si="55"/>
        <v>Chronic</v>
      </c>
      <c r="AT85" s="67" t="str">
        <f t="shared" si="61"/>
        <v>y</v>
      </c>
      <c r="AU85" s="69" t="str">
        <f t="shared" si="41"/>
        <v>Mortality</v>
      </c>
      <c r="AV85" s="67" t="s">
        <v>459</v>
      </c>
      <c r="AW85" s="70">
        <f t="shared" si="42"/>
        <v>29</v>
      </c>
      <c r="AX85" s="67" t="s">
        <v>460</v>
      </c>
      <c r="AY85" s="67"/>
      <c r="AZ85" s="82">
        <f t="shared" si="56"/>
        <v>8.0225816433302413</v>
      </c>
      <c r="BA85" s="170"/>
      <c r="BB85" s="164"/>
      <c r="BC85" s="150"/>
    </row>
    <row r="86" spans="1:61" ht="15" customHeight="1" x14ac:dyDescent="0.25">
      <c r="A86" s="32" t="s">
        <v>286</v>
      </c>
      <c r="B86" s="33">
        <v>249</v>
      </c>
      <c r="C86" s="34" t="s">
        <v>24</v>
      </c>
      <c r="D86" s="35" t="s">
        <v>272</v>
      </c>
      <c r="E86" s="33" t="s">
        <v>178</v>
      </c>
      <c r="F86" s="33" t="s">
        <v>179</v>
      </c>
      <c r="G86" s="33" t="s">
        <v>52</v>
      </c>
      <c r="H86" s="33" t="s">
        <v>572</v>
      </c>
      <c r="I86" s="48" t="s">
        <v>282</v>
      </c>
      <c r="J86" s="36" t="s">
        <v>53</v>
      </c>
      <c r="K86" s="36" t="s">
        <v>53</v>
      </c>
      <c r="L86" s="36" t="s">
        <v>112</v>
      </c>
      <c r="M86" s="36">
        <v>29</v>
      </c>
      <c r="N86" s="33" t="s">
        <v>55</v>
      </c>
      <c r="O86" s="37" t="s">
        <v>33</v>
      </c>
      <c r="P86" s="38" t="s">
        <v>274</v>
      </c>
      <c r="Q86" s="38" t="s">
        <v>900</v>
      </c>
      <c r="R86" s="33" t="s">
        <v>938</v>
      </c>
      <c r="S86" s="33" t="s">
        <v>37</v>
      </c>
      <c r="T86" s="33">
        <v>199</v>
      </c>
      <c r="U86" s="33" t="s">
        <v>287</v>
      </c>
      <c r="V86" s="33">
        <v>12.2</v>
      </c>
      <c r="W86" s="33" t="s">
        <v>288</v>
      </c>
      <c r="X86" s="33">
        <v>7.78</v>
      </c>
      <c r="Y86" s="46">
        <v>1.309714349565388</v>
      </c>
      <c r="Z86" s="33">
        <v>21.4</v>
      </c>
      <c r="AA86" s="33" t="s">
        <v>289</v>
      </c>
      <c r="AB86" s="39">
        <v>280</v>
      </c>
      <c r="AC86" s="33">
        <v>21.4</v>
      </c>
      <c r="AD86" s="40">
        <f t="shared" si="48"/>
        <v>38.783313387584506</v>
      </c>
      <c r="AE86" s="40">
        <f t="shared" si="62"/>
        <v>38.783313387584506</v>
      </c>
      <c r="AG86" s="16">
        <f t="shared" si="49"/>
        <v>0.80909589917838132</v>
      </c>
      <c r="AH86" s="26">
        <f t="shared" si="50"/>
        <v>1.235947433444512</v>
      </c>
      <c r="AJ86" s="85" t="str">
        <f t="shared" si="51"/>
        <v>LC50</v>
      </c>
      <c r="AK86" s="9">
        <f t="shared" si="57"/>
        <v>5</v>
      </c>
      <c r="AL86" s="18">
        <f t="shared" si="52"/>
        <v>7.7566626775169016</v>
      </c>
      <c r="AM86" s="88" t="str">
        <f t="shared" si="53"/>
        <v>Chronic</v>
      </c>
      <c r="AN86" s="9">
        <f t="shared" si="58"/>
        <v>1</v>
      </c>
      <c r="AO86" s="18">
        <f t="shared" si="59"/>
        <v>7.7566626775169016</v>
      </c>
      <c r="AP86" s="16"/>
      <c r="AQ86" s="132" t="str">
        <f t="shared" si="54"/>
        <v>LC50</v>
      </c>
      <c r="AR86" s="67" t="s">
        <v>463</v>
      </c>
      <c r="AS86" s="88" t="str">
        <f t="shared" si="55"/>
        <v>Chronic</v>
      </c>
      <c r="AT86" s="67" t="str">
        <f t="shared" si="61"/>
        <v>y</v>
      </c>
      <c r="AU86" s="69" t="str">
        <f t="shared" si="41"/>
        <v>Mortality</v>
      </c>
      <c r="AV86" s="67" t="s">
        <v>459</v>
      </c>
      <c r="AW86" s="70">
        <f t="shared" si="42"/>
        <v>29</v>
      </c>
      <c r="AX86" s="67" t="s">
        <v>460</v>
      </c>
      <c r="AY86" s="67"/>
      <c r="AZ86" s="82">
        <f t="shared" si="56"/>
        <v>7.7566626775169016</v>
      </c>
      <c r="BA86" s="161"/>
      <c r="BB86" s="161"/>
      <c r="BC86" s="171"/>
    </row>
    <row r="87" spans="1:61" ht="15" customHeight="1" x14ac:dyDescent="0.25">
      <c r="A87" s="32" t="s">
        <v>290</v>
      </c>
      <c r="B87" s="33">
        <v>249</v>
      </c>
      <c r="C87" s="34" t="s">
        <v>24</v>
      </c>
      <c r="D87" s="35" t="s">
        <v>272</v>
      </c>
      <c r="E87" s="33" t="s">
        <v>178</v>
      </c>
      <c r="F87" s="33" t="s">
        <v>179</v>
      </c>
      <c r="G87" s="33" t="s">
        <v>52</v>
      </c>
      <c r="H87" s="33" t="s">
        <v>572</v>
      </c>
      <c r="I87" s="48" t="s">
        <v>273</v>
      </c>
      <c r="J87" s="36" t="s">
        <v>53</v>
      </c>
      <c r="K87" s="36" t="s">
        <v>53</v>
      </c>
      <c r="L87" s="36" t="s">
        <v>112</v>
      </c>
      <c r="M87" s="36">
        <v>36</v>
      </c>
      <c r="N87" s="33" t="s">
        <v>55</v>
      </c>
      <c r="O87" s="37" t="s">
        <v>33</v>
      </c>
      <c r="P87" s="38" t="s">
        <v>274</v>
      </c>
      <c r="Q87" s="38" t="s">
        <v>900</v>
      </c>
      <c r="R87" s="33" t="s">
        <v>938</v>
      </c>
      <c r="S87" s="33" t="s">
        <v>37</v>
      </c>
      <c r="T87" s="33">
        <v>199</v>
      </c>
      <c r="U87" s="33" t="s">
        <v>275</v>
      </c>
      <c r="V87" s="33">
        <v>13.1</v>
      </c>
      <c r="W87" s="33" t="s">
        <v>276</v>
      </c>
      <c r="X87" s="33">
        <v>7.81</v>
      </c>
      <c r="Y87" s="46">
        <v>1.5011113288687636</v>
      </c>
      <c r="Z87" s="33">
        <v>30.8</v>
      </c>
      <c r="AA87" s="33" t="s">
        <v>277</v>
      </c>
      <c r="AB87" s="39">
        <v>461.1764705882353</v>
      </c>
      <c r="AC87" s="33">
        <v>30.8</v>
      </c>
      <c r="AD87" s="40">
        <f t="shared" si="48"/>
        <v>57.91033205761628</v>
      </c>
      <c r="AE87" s="40">
        <f t="shared" si="62"/>
        <v>57.91033205761628</v>
      </c>
      <c r="AG87" s="16">
        <f t="shared" si="49"/>
        <v>0.75509222766543405</v>
      </c>
      <c r="AH87" s="26">
        <f t="shared" si="50"/>
        <v>1.3243415351946644</v>
      </c>
      <c r="AJ87" s="85" t="str">
        <f t="shared" si="51"/>
        <v>LC50</v>
      </c>
      <c r="AK87" s="9">
        <f t="shared" si="57"/>
        <v>5</v>
      </c>
      <c r="AL87" s="18">
        <f t="shared" si="52"/>
        <v>11.582066411523256</v>
      </c>
      <c r="AM87" s="88" t="str">
        <f t="shared" si="53"/>
        <v>Chronic</v>
      </c>
      <c r="AN87" s="9">
        <f t="shared" si="58"/>
        <v>1</v>
      </c>
      <c r="AO87" s="18">
        <f t="shared" si="59"/>
        <v>11.582066411523256</v>
      </c>
      <c r="AP87" s="16"/>
      <c r="AQ87" s="132" t="str">
        <f t="shared" si="54"/>
        <v>LC50</v>
      </c>
      <c r="AR87" s="67" t="s">
        <v>463</v>
      </c>
      <c r="AS87" s="88" t="str">
        <f t="shared" si="55"/>
        <v>Chronic</v>
      </c>
      <c r="AT87" s="67" t="str">
        <f t="shared" si="61"/>
        <v>y</v>
      </c>
      <c r="AU87" s="69" t="str">
        <f t="shared" si="41"/>
        <v>Mortality</v>
      </c>
      <c r="AV87" s="67" t="s">
        <v>473</v>
      </c>
      <c r="AW87" s="70">
        <f t="shared" si="42"/>
        <v>36</v>
      </c>
      <c r="AX87" s="67" t="s">
        <v>478</v>
      </c>
      <c r="AY87" s="67"/>
      <c r="AZ87" s="82">
        <f t="shared" si="56"/>
        <v>11.582066411523256</v>
      </c>
      <c r="BA87" s="161">
        <f>GEOMEAN(AZ87:AZ88)</f>
        <v>11.769314234314399</v>
      </c>
      <c r="BB87" s="161"/>
      <c r="BC87" s="171"/>
    </row>
    <row r="88" spans="1:61" ht="15" customHeight="1" x14ac:dyDescent="0.25">
      <c r="A88" s="32" t="s">
        <v>291</v>
      </c>
      <c r="B88" s="33">
        <v>249</v>
      </c>
      <c r="C88" s="34" t="s">
        <v>24</v>
      </c>
      <c r="D88" s="35" t="s">
        <v>272</v>
      </c>
      <c r="E88" s="33" t="s">
        <v>178</v>
      </c>
      <c r="F88" s="33" t="s">
        <v>179</v>
      </c>
      <c r="G88" s="33" t="s">
        <v>52</v>
      </c>
      <c r="H88" s="33" t="s">
        <v>572</v>
      </c>
      <c r="I88" s="48" t="s">
        <v>273</v>
      </c>
      <c r="J88" s="36" t="s">
        <v>53</v>
      </c>
      <c r="K88" s="36" t="s">
        <v>53</v>
      </c>
      <c r="L88" s="36" t="s">
        <v>112</v>
      </c>
      <c r="M88" s="36">
        <v>36</v>
      </c>
      <c r="N88" s="33" t="s">
        <v>55</v>
      </c>
      <c r="O88" s="37" t="s">
        <v>33</v>
      </c>
      <c r="P88" s="38" t="s">
        <v>274</v>
      </c>
      <c r="Q88" s="38" t="s">
        <v>900</v>
      </c>
      <c r="R88" s="33" t="s">
        <v>938</v>
      </c>
      <c r="S88" s="33" t="s">
        <v>37</v>
      </c>
      <c r="T88" s="33">
        <v>199</v>
      </c>
      <c r="U88" s="33" t="s">
        <v>279</v>
      </c>
      <c r="V88" s="33">
        <v>12.8</v>
      </c>
      <c r="W88" s="33" t="s">
        <v>280</v>
      </c>
      <c r="X88" s="33">
        <v>7.8</v>
      </c>
      <c r="Y88" s="46">
        <v>1.4345017024743481</v>
      </c>
      <c r="Z88" s="33">
        <v>32.200000000000003</v>
      </c>
      <c r="AA88" s="33" t="s">
        <v>277</v>
      </c>
      <c r="AB88" s="39">
        <v>461.1764705882353</v>
      </c>
      <c r="AC88" s="33">
        <v>32.200000000000003</v>
      </c>
      <c r="AD88" s="40">
        <f t="shared" si="48"/>
        <v>59.797946508155967</v>
      </c>
      <c r="AE88" s="40">
        <f t="shared" si="62"/>
        <v>59.797946508155967</v>
      </c>
      <c r="AG88" s="16">
        <f t="shared" si="49"/>
        <v>0.77268058509570214</v>
      </c>
      <c r="AH88" s="26">
        <f t="shared" si="50"/>
        <v>1.2941958414499863</v>
      </c>
      <c r="AJ88" s="85" t="str">
        <f t="shared" si="51"/>
        <v>LC50</v>
      </c>
      <c r="AK88" s="9">
        <f t="shared" si="57"/>
        <v>5</v>
      </c>
      <c r="AL88" s="18">
        <f t="shared" si="52"/>
        <v>11.959589301631194</v>
      </c>
      <c r="AM88" s="88" t="str">
        <f t="shared" si="53"/>
        <v>Chronic</v>
      </c>
      <c r="AN88" s="9">
        <f t="shared" si="58"/>
        <v>1</v>
      </c>
      <c r="AO88" s="18">
        <f t="shared" si="59"/>
        <v>11.959589301631194</v>
      </c>
      <c r="AP88" s="16"/>
      <c r="AQ88" s="110" t="str">
        <f t="shared" si="54"/>
        <v>LC50</v>
      </c>
      <c r="AR88" s="111" t="s">
        <v>463</v>
      </c>
      <c r="AS88" s="112" t="str">
        <f t="shared" si="55"/>
        <v>Chronic</v>
      </c>
      <c r="AT88" s="111" t="str">
        <f t="shared" si="61"/>
        <v>y</v>
      </c>
      <c r="AU88" s="134" t="str">
        <f t="shared" si="41"/>
        <v>Mortality</v>
      </c>
      <c r="AV88" s="111" t="s">
        <v>473</v>
      </c>
      <c r="AW88" s="114">
        <f t="shared" si="42"/>
        <v>36</v>
      </c>
      <c r="AX88" s="111" t="s">
        <v>478</v>
      </c>
      <c r="AY88" s="111"/>
      <c r="AZ88" s="138">
        <f t="shared" si="56"/>
        <v>11.959589301631194</v>
      </c>
      <c r="BA88" s="167"/>
      <c r="BB88" s="168"/>
      <c r="BC88" s="137"/>
    </row>
    <row r="89" spans="1:61" ht="15" customHeight="1" x14ac:dyDescent="0.25">
      <c r="A89" s="19" t="s">
        <v>292</v>
      </c>
      <c r="B89" s="23">
        <v>222</v>
      </c>
      <c r="C89" s="10" t="s">
        <v>24</v>
      </c>
      <c r="D89" s="11" t="s">
        <v>293</v>
      </c>
      <c r="E89" s="9" t="s">
        <v>178</v>
      </c>
      <c r="F89" s="9" t="s">
        <v>179</v>
      </c>
      <c r="G89" s="9" t="s">
        <v>72</v>
      </c>
      <c r="H89" s="9" t="s">
        <v>572</v>
      </c>
      <c r="I89" s="9" t="s">
        <v>294</v>
      </c>
      <c r="J89" s="12" t="s">
        <v>109</v>
      </c>
      <c r="K89" s="12" t="s">
        <v>109</v>
      </c>
      <c r="L89" s="24" t="s">
        <v>54</v>
      </c>
      <c r="M89" s="9">
        <v>90</v>
      </c>
      <c r="N89" s="9" t="s">
        <v>55</v>
      </c>
      <c r="O89" s="9" t="s">
        <v>33</v>
      </c>
      <c r="P89" s="14" t="s">
        <v>295</v>
      </c>
      <c r="Q89" s="14" t="s">
        <v>900</v>
      </c>
      <c r="R89" s="9" t="s">
        <v>941</v>
      </c>
      <c r="S89" s="9" t="s">
        <v>37</v>
      </c>
      <c r="T89" s="9" t="s">
        <v>940</v>
      </c>
      <c r="U89" s="9" t="s">
        <v>296</v>
      </c>
      <c r="V89" s="9">
        <v>11.4</v>
      </c>
      <c r="W89" s="9" t="s">
        <v>297</v>
      </c>
      <c r="X89" s="9">
        <v>7.75</v>
      </c>
      <c r="Y89" s="9">
        <v>1.151</v>
      </c>
      <c r="Z89" s="9">
        <v>7.44</v>
      </c>
      <c r="AA89" s="9" t="s">
        <v>37</v>
      </c>
      <c r="AB89" s="15">
        <f t="shared" ref="AB89:AB91" si="63">(Z89)*(Y89/100)*1000</f>
        <v>85.634399999999999</v>
      </c>
      <c r="AC89" s="9">
        <v>7.44</v>
      </c>
      <c r="AD89" s="15">
        <f t="shared" si="48"/>
        <v>13.010259504368427</v>
      </c>
      <c r="AE89" s="15">
        <f t="shared" ref="AE89:AE114" si="64">AD89</f>
        <v>13.010259504368427</v>
      </c>
      <c r="AG89" s="16">
        <f t="shared" si="49"/>
        <v>0.86696187575821604</v>
      </c>
      <c r="AH89" s="26">
        <f t="shared" si="50"/>
        <v>1.153453257821093</v>
      </c>
      <c r="AJ89" s="85" t="str">
        <f t="shared" si="51"/>
        <v>NOEC</v>
      </c>
      <c r="AK89" s="9">
        <f t="shared" si="57"/>
        <v>1</v>
      </c>
      <c r="AL89" s="18">
        <f t="shared" si="52"/>
        <v>13.010259504368427</v>
      </c>
      <c r="AM89" s="88" t="str">
        <f t="shared" si="53"/>
        <v>Chronic</v>
      </c>
      <c r="AN89" s="9">
        <f t="shared" si="58"/>
        <v>1</v>
      </c>
      <c r="AO89" s="18">
        <f t="shared" si="59"/>
        <v>13.010259504368427</v>
      </c>
      <c r="AP89" s="16"/>
      <c r="AQ89" s="132" t="str">
        <f t="shared" si="54"/>
        <v>NOEC</v>
      </c>
      <c r="AR89" s="67" t="s">
        <v>356</v>
      </c>
      <c r="AS89" s="88" t="str">
        <f t="shared" si="55"/>
        <v>Chronic</v>
      </c>
      <c r="AT89" s="67" t="str">
        <f t="shared" si="61"/>
        <v>y</v>
      </c>
      <c r="AU89" s="69" t="str">
        <f t="shared" si="41"/>
        <v>Survival</v>
      </c>
      <c r="AV89" s="67" t="s">
        <v>459</v>
      </c>
      <c r="AW89" s="70">
        <f t="shared" si="42"/>
        <v>90</v>
      </c>
      <c r="AX89" s="67" t="s">
        <v>460</v>
      </c>
      <c r="AY89" s="67"/>
      <c r="AZ89" s="82">
        <f>AO89</f>
        <v>13.010259504368427</v>
      </c>
      <c r="BA89" s="72">
        <f>GEOMEAN(AZ89:AZ91)</f>
        <v>13.010259504368427</v>
      </c>
      <c r="BB89" s="165">
        <f>MIN(BA89)</f>
        <v>13.010259504368427</v>
      </c>
      <c r="BC89" s="163"/>
    </row>
    <row r="90" spans="1:61" ht="15" customHeight="1" x14ac:dyDescent="0.25">
      <c r="A90" s="19" t="s">
        <v>298</v>
      </c>
      <c r="B90" s="23">
        <v>222</v>
      </c>
      <c r="C90" s="10" t="s">
        <v>24</v>
      </c>
      <c r="D90" s="11" t="s">
        <v>293</v>
      </c>
      <c r="E90" s="9" t="s">
        <v>178</v>
      </c>
      <c r="F90" s="9" t="s">
        <v>179</v>
      </c>
      <c r="G90" s="9" t="s">
        <v>72</v>
      </c>
      <c r="H90" s="9" t="s">
        <v>572</v>
      </c>
      <c r="I90" s="9" t="s">
        <v>294</v>
      </c>
      <c r="J90" s="12" t="s">
        <v>180</v>
      </c>
      <c r="K90" s="12" t="s">
        <v>180</v>
      </c>
      <c r="L90" s="12" t="s">
        <v>54</v>
      </c>
      <c r="M90" s="9">
        <v>90</v>
      </c>
      <c r="N90" s="9" t="s">
        <v>55</v>
      </c>
      <c r="O90" s="9" t="s">
        <v>33</v>
      </c>
      <c r="P90" s="14" t="s">
        <v>295</v>
      </c>
      <c r="Q90" s="14" t="s">
        <v>900</v>
      </c>
      <c r="R90" s="9" t="s">
        <v>941</v>
      </c>
      <c r="S90" s="9" t="s">
        <v>37</v>
      </c>
      <c r="T90" s="9" t="s">
        <v>940</v>
      </c>
      <c r="U90" s="9" t="s">
        <v>296</v>
      </c>
      <c r="V90" s="9">
        <v>11.4</v>
      </c>
      <c r="W90" s="9" t="s">
        <v>297</v>
      </c>
      <c r="X90" s="9">
        <v>7.75</v>
      </c>
      <c r="Y90" s="9">
        <v>1.151</v>
      </c>
      <c r="Z90" s="9">
        <v>7.44</v>
      </c>
      <c r="AA90" s="9" t="s">
        <v>37</v>
      </c>
      <c r="AB90" s="15">
        <f t="shared" si="63"/>
        <v>85.634399999999999</v>
      </c>
      <c r="AC90" s="9">
        <v>7.44</v>
      </c>
      <c r="AD90" s="15">
        <f t="shared" si="48"/>
        <v>13.010259504368427</v>
      </c>
      <c r="AE90" s="15">
        <f t="shared" si="64"/>
        <v>13.010259504368427</v>
      </c>
      <c r="AG90" s="16">
        <f t="shared" si="49"/>
        <v>0.86696187575821604</v>
      </c>
      <c r="AH90" s="26">
        <f t="shared" si="50"/>
        <v>1.153453257821093</v>
      </c>
      <c r="AJ90" s="85" t="str">
        <f t="shared" si="51"/>
        <v>NOEC</v>
      </c>
      <c r="AK90" s="9">
        <f t="shared" si="57"/>
        <v>1</v>
      </c>
      <c r="AL90" s="18">
        <f t="shared" si="52"/>
        <v>13.010259504368427</v>
      </c>
      <c r="AM90" s="88" t="str">
        <f t="shared" si="53"/>
        <v>Chronic</v>
      </c>
      <c r="AN90" s="9">
        <f t="shared" si="58"/>
        <v>1</v>
      </c>
      <c r="AO90" s="18">
        <f t="shared" si="59"/>
        <v>13.010259504368427</v>
      </c>
      <c r="AP90" s="16"/>
      <c r="AQ90" s="132" t="str">
        <f t="shared" si="54"/>
        <v>NOEC</v>
      </c>
      <c r="AR90" s="67" t="s">
        <v>356</v>
      </c>
      <c r="AS90" s="88" t="str">
        <f t="shared" si="55"/>
        <v>Chronic</v>
      </c>
      <c r="AT90" s="67" t="str">
        <f t="shared" si="61"/>
        <v>y</v>
      </c>
      <c r="AU90" s="69" t="str">
        <f t="shared" si="41"/>
        <v>Weight</v>
      </c>
      <c r="AV90" s="67" t="s">
        <v>473</v>
      </c>
      <c r="AW90" s="70">
        <f t="shared" si="42"/>
        <v>90</v>
      </c>
      <c r="AX90" s="67" t="s">
        <v>460</v>
      </c>
      <c r="AY90" s="67"/>
      <c r="AZ90" s="82">
        <f>AO90</f>
        <v>13.010259504368427</v>
      </c>
      <c r="BA90" s="162"/>
      <c r="BB90" s="162"/>
      <c r="BC90" s="163"/>
    </row>
    <row r="91" spans="1:61" ht="15" customHeight="1" x14ac:dyDescent="0.25">
      <c r="A91" s="19" t="s">
        <v>299</v>
      </c>
      <c r="B91" s="23">
        <v>222</v>
      </c>
      <c r="C91" s="10" t="s">
        <v>24</v>
      </c>
      <c r="D91" s="11" t="s">
        <v>293</v>
      </c>
      <c r="E91" s="9" t="s">
        <v>178</v>
      </c>
      <c r="F91" s="9" t="s">
        <v>179</v>
      </c>
      <c r="G91" s="9" t="s">
        <v>72</v>
      </c>
      <c r="H91" s="9" t="s">
        <v>572</v>
      </c>
      <c r="I91" s="9" t="s">
        <v>294</v>
      </c>
      <c r="J91" s="12" t="s">
        <v>208</v>
      </c>
      <c r="K91" s="12" t="s">
        <v>300</v>
      </c>
      <c r="L91" s="12" t="s">
        <v>54</v>
      </c>
      <c r="M91" s="9">
        <v>90</v>
      </c>
      <c r="N91" s="9" t="s">
        <v>55</v>
      </c>
      <c r="O91" s="9" t="s">
        <v>33</v>
      </c>
      <c r="P91" s="14" t="s">
        <v>295</v>
      </c>
      <c r="Q91" s="14" t="s">
        <v>900</v>
      </c>
      <c r="R91" s="9" t="s">
        <v>941</v>
      </c>
      <c r="S91" s="9" t="s">
        <v>37</v>
      </c>
      <c r="T91" s="9" t="s">
        <v>940</v>
      </c>
      <c r="U91" s="9" t="s">
        <v>296</v>
      </c>
      <c r="V91" s="9">
        <v>11.4</v>
      </c>
      <c r="W91" s="9" t="s">
        <v>297</v>
      </c>
      <c r="X91" s="9">
        <v>7.75</v>
      </c>
      <c r="Y91" s="9">
        <v>1.151</v>
      </c>
      <c r="Z91" s="9">
        <v>7.44</v>
      </c>
      <c r="AA91" s="9" t="s">
        <v>37</v>
      </c>
      <c r="AB91" s="15">
        <f t="shared" si="63"/>
        <v>85.634399999999999</v>
      </c>
      <c r="AC91" s="9">
        <v>7.44</v>
      </c>
      <c r="AD91" s="15">
        <f t="shared" si="48"/>
        <v>13.010259504368427</v>
      </c>
      <c r="AE91" s="15">
        <f t="shared" si="64"/>
        <v>13.010259504368427</v>
      </c>
      <c r="AG91" s="16">
        <f t="shared" si="49"/>
        <v>0.86696187575821604</v>
      </c>
      <c r="AH91" s="26">
        <f t="shared" si="50"/>
        <v>1.153453257821093</v>
      </c>
      <c r="AJ91" s="85" t="str">
        <f t="shared" si="51"/>
        <v>NOEC</v>
      </c>
      <c r="AK91" s="9">
        <f t="shared" si="57"/>
        <v>1</v>
      </c>
      <c r="AL91" s="18">
        <f t="shared" si="52"/>
        <v>13.010259504368427</v>
      </c>
      <c r="AM91" s="88" t="str">
        <f t="shared" si="53"/>
        <v>Chronic</v>
      </c>
      <c r="AN91" s="9">
        <f t="shared" si="58"/>
        <v>1</v>
      </c>
      <c r="AO91" s="18">
        <f t="shared" si="59"/>
        <v>13.010259504368427</v>
      </c>
      <c r="AP91" s="16"/>
      <c r="AQ91" s="132" t="str">
        <f t="shared" si="54"/>
        <v>NOEC</v>
      </c>
      <c r="AR91" s="67" t="s">
        <v>356</v>
      </c>
      <c r="AS91" s="88" t="str">
        <f t="shared" si="55"/>
        <v>Chronic</v>
      </c>
      <c r="AT91" s="67" t="str">
        <f t="shared" si="61"/>
        <v>y</v>
      </c>
      <c r="AU91" s="69" t="str">
        <f t="shared" si="41"/>
        <v>Weight (combined weight of surviving fish)</v>
      </c>
      <c r="AV91" s="67" t="s">
        <v>475</v>
      </c>
      <c r="AW91" s="70">
        <f t="shared" si="42"/>
        <v>90</v>
      </c>
      <c r="AX91" s="67" t="s">
        <v>460</v>
      </c>
      <c r="AY91" s="67"/>
      <c r="AZ91" s="82">
        <f>AO91</f>
        <v>13.010259504368427</v>
      </c>
      <c r="BA91" s="162"/>
      <c r="BB91" s="162"/>
      <c r="BC91" s="163"/>
    </row>
    <row r="92" spans="1:61" ht="15" customHeight="1" x14ac:dyDescent="0.25">
      <c r="A92" s="19" t="s">
        <v>301</v>
      </c>
      <c r="B92" s="9">
        <v>238</v>
      </c>
      <c r="C92" s="10" t="s">
        <v>24</v>
      </c>
      <c r="D92" s="11" t="s">
        <v>293</v>
      </c>
      <c r="E92" s="9" t="s">
        <v>178</v>
      </c>
      <c r="F92" s="9" t="s">
        <v>179</v>
      </c>
      <c r="G92" s="9" t="s">
        <v>52</v>
      </c>
      <c r="H92" s="9" t="s">
        <v>572</v>
      </c>
      <c r="I92" s="12" t="s">
        <v>224</v>
      </c>
      <c r="J92" s="12" t="s">
        <v>136</v>
      </c>
      <c r="K92" s="12" t="s">
        <v>302</v>
      </c>
      <c r="L92" s="12" t="s">
        <v>54</v>
      </c>
      <c r="M92" s="12">
        <v>21</v>
      </c>
      <c r="N92" s="9" t="s">
        <v>55</v>
      </c>
      <c r="O92" s="13" t="s">
        <v>33</v>
      </c>
      <c r="P92" s="14" t="s">
        <v>303</v>
      </c>
      <c r="Q92" s="14" t="s">
        <v>900</v>
      </c>
      <c r="R92" s="9" t="s">
        <v>943</v>
      </c>
      <c r="S92" s="9" t="s">
        <v>37</v>
      </c>
      <c r="T92" s="9" t="s">
        <v>942</v>
      </c>
      <c r="U92" s="9" t="s">
        <v>304</v>
      </c>
      <c r="V92" s="9">
        <v>11</v>
      </c>
      <c r="W92" s="9" t="s">
        <v>305</v>
      </c>
      <c r="X92" s="9">
        <v>7.5</v>
      </c>
      <c r="Y92" s="9">
        <v>0.63100000000000001</v>
      </c>
      <c r="Z92" s="9" t="s">
        <v>37</v>
      </c>
      <c r="AA92" s="9" t="s">
        <v>306</v>
      </c>
      <c r="AB92" s="20">
        <v>50</v>
      </c>
      <c r="AC92" s="27">
        <f t="shared" ref="AC92" si="65">AB92/((Y92/100)*1000)</f>
        <v>7.9239302694136295</v>
      </c>
      <c r="AD92" s="15">
        <f t="shared" si="48"/>
        <v>10.730508062422144</v>
      </c>
      <c r="AE92" s="15">
        <f t="shared" si="64"/>
        <v>10.730508062422144</v>
      </c>
      <c r="AF92" t="s">
        <v>577</v>
      </c>
      <c r="AG92" s="16">
        <f t="shared" si="49"/>
        <v>1.5417004529495584</v>
      </c>
      <c r="AH92" s="26">
        <f t="shared" si="50"/>
        <v>0.6486344335482388</v>
      </c>
      <c r="AJ92" s="85" t="str">
        <f t="shared" si="51"/>
        <v>NOEC</v>
      </c>
      <c r="AK92" s="9">
        <f t="shared" si="57"/>
        <v>1</v>
      </c>
      <c r="AL92" s="18">
        <f t="shared" si="52"/>
        <v>10.730508062422144</v>
      </c>
      <c r="AM92" s="88" t="str">
        <f t="shared" si="53"/>
        <v>Chronic</v>
      </c>
      <c r="AN92" s="9">
        <f t="shared" si="58"/>
        <v>1</v>
      </c>
      <c r="AO92" s="18">
        <f t="shared" si="59"/>
        <v>10.730508062422144</v>
      </c>
      <c r="AP92" s="16"/>
      <c r="AQ92" s="132" t="str">
        <f t="shared" si="54"/>
        <v>NOEC</v>
      </c>
      <c r="AR92" s="67" t="s">
        <v>356</v>
      </c>
      <c r="AS92" s="88" t="str">
        <f t="shared" si="55"/>
        <v>Chronic</v>
      </c>
      <c r="AT92" s="67" t="str">
        <f t="shared" si="61"/>
        <v>y</v>
      </c>
      <c r="AU92" s="69" t="str">
        <f t="shared" si="41"/>
        <v>Growth (length)</v>
      </c>
      <c r="AV92" s="67" t="s">
        <v>55</v>
      </c>
      <c r="AW92" s="70">
        <f t="shared" si="42"/>
        <v>21</v>
      </c>
      <c r="AX92" s="67" t="s">
        <v>474</v>
      </c>
      <c r="AY92" s="67"/>
      <c r="AZ92" s="82">
        <f t="shared" ref="AZ92" si="66">AO92</f>
        <v>10.730508062422144</v>
      </c>
      <c r="BA92" s="72">
        <f>GEOMEAN(AZ92)</f>
        <v>10.730508062422144</v>
      </c>
      <c r="BC92" s="145"/>
      <c r="BD92" t="s">
        <v>504</v>
      </c>
    </row>
    <row r="93" spans="1:61" ht="15" customHeight="1" x14ac:dyDescent="0.25">
      <c r="A93" s="19" t="s">
        <v>307</v>
      </c>
      <c r="B93" s="23">
        <v>222</v>
      </c>
      <c r="C93" s="10" t="s">
        <v>24</v>
      </c>
      <c r="D93" s="11" t="s">
        <v>293</v>
      </c>
      <c r="E93" s="9" t="s">
        <v>178</v>
      </c>
      <c r="F93" s="9" t="s">
        <v>179</v>
      </c>
      <c r="G93" s="9" t="s">
        <v>72</v>
      </c>
      <c r="H93" s="9" t="s">
        <v>572</v>
      </c>
      <c r="I93" s="9" t="s">
        <v>294</v>
      </c>
      <c r="J93" s="12" t="s">
        <v>169</v>
      </c>
      <c r="K93" s="12" t="s">
        <v>302</v>
      </c>
      <c r="L93" s="12" t="s">
        <v>54</v>
      </c>
      <c r="M93" s="9">
        <v>90</v>
      </c>
      <c r="N93" s="9" t="s">
        <v>55</v>
      </c>
      <c r="O93" s="9" t="s">
        <v>33</v>
      </c>
      <c r="P93" s="14" t="s">
        <v>295</v>
      </c>
      <c r="Q93" s="14" t="s">
        <v>900</v>
      </c>
      <c r="R93" s="9" t="s">
        <v>941</v>
      </c>
      <c r="S93" s="9" t="s">
        <v>37</v>
      </c>
      <c r="T93" s="9" t="s">
        <v>940</v>
      </c>
      <c r="U93" s="9" t="s">
        <v>296</v>
      </c>
      <c r="V93" s="9">
        <v>11.4</v>
      </c>
      <c r="W93" s="9" t="s">
        <v>297</v>
      </c>
      <c r="X93" s="9">
        <v>7.75</v>
      </c>
      <c r="Y93" s="9">
        <v>1.151</v>
      </c>
      <c r="Z93" s="9">
        <v>7.44</v>
      </c>
      <c r="AA93" s="9" t="s">
        <v>37</v>
      </c>
      <c r="AB93" s="15">
        <f t="shared" ref="AB93" si="67">(Z93)*(Y93/100)*1000</f>
        <v>85.634399999999999</v>
      </c>
      <c r="AC93" s="9">
        <v>7.44</v>
      </c>
      <c r="AD93" s="15">
        <f t="shared" si="48"/>
        <v>13.010259504368427</v>
      </c>
      <c r="AE93" s="15">
        <f t="shared" si="64"/>
        <v>13.010259504368427</v>
      </c>
      <c r="AG93" s="16">
        <f t="shared" si="49"/>
        <v>0.86696187575821604</v>
      </c>
      <c r="AH93" s="26">
        <f t="shared" si="50"/>
        <v>1.153453257821093</v>
      </c>
      <c r="AJ93" s="85" t="str">
        <f t="shared" si="51"/>
        <v>NOEC</v>
      </c>
      <c r="AK93" s="9">
        <f t="shared" si="57"/>
        <v>1</v>
      </c>
      <c r="AL93" s="18">
        <f t="shared" si="52"/>
        <v>13.010259504368427</v>
      </c>
      <c r="AM93" s="88" t="str">
        <f t="shared" si="53"/>
        <v>Chronic</v>
      </c>
      <c r="AN93" s="9">
        <f t="shared" si="58"/>
        <v>1</v>
      </c>
      <c r="AO93" s="18">
        <f t="shared" si="59"/>
        <v>13.010259504368427</v>
      </c>
      <c r="AP93" s="16"/>
      <c r="AQ93" s="132" t="str">
        <f t="shared" si="54"/>
        <v>NOEC</v>
      </c>
      <c r="AR93" s="67" t="s">
        <v>356</v>
      </c>
      <c r="AS93" s="88" t="str">
        <f t="shared" si="55"/>
        <v>Chronic</v>
      </c>
      <c r="AT93" s="67" t="str">
        <f t="shared" si="61"/>
        <v>y</v>
      </c>
      <c r="AU93" s="69" t="str">
        <f t="shared" si="41"/>
        <v>Growth (length)</v>
      </c>
      <c r="AV93" s="67" t="s">
        <v>55</v>
      </c>
      <c r="AW93" s="70">
        <f t="shared" si="42"/>
        <v>90</v>
      </c>
      <c r="AX93" s="67" t="s">
        <v>479</v>
      </c>
      <c r="AY93" s="67"/>
      <c r="AZ93" s="82">
        <f>AO93</f>
        <v>13.010259504368427</v>
      </c>
      <c r="BA93" s="72">
        <f>GEOMEAN(AZ93)</f>
        <v>13.010259504368427</v>
      </c>
      <c r="BB93" s="78"/>
      <c r="BC93" s="133"/>
    </row>
    <row r="94" spans="1:61" ht="15" customHeight="1" x14ac:dyDescent="0.25">
      <c r="A94" s="19" t="s">
        <v>308</v>
      </c>
      <c r="B94" s="9">
        <v>238</v>
      </c>
      <c r="C94" s="10" t="s">
        <v>24</v>
      </c>
      <c r="D94" s="11" t="s">
        <v>293</v>
      </c>
      <c r="E94" s="9" t="s">
        <v>178</v>
      </c>
      <c r="F94" s="9" t="s">
        <v>179</v>
      </c>
      <c r="G94" s="9" t="s">
        <v>52</v>
      </c>
      <c r="H94" s="9" t="s">
        <v>572</v>
      </c>
      <c r="I94" s="12" t="s">
        <v>224</v>
      </c>
      <c r="J94" s="12" t="s">
        <v>136</v>
      </c>
      <c r="K94" s="12" t="s">
        <v>302</v>
      </c>
      <c r="L94" s="12" t="s">
        <v>54</v>
      </c>
      <c r="M94" s="12">
        <v>35</v>
      </c>
      <c r="N94" s="9" t="s">
        <v>55</v>
      </c>
      <c r="O94" s="13" t="s">
        <v>33</v>
      </c>
      <c r="P94" s="14" t="s">
        <v>303</v>
      </c>
      <c r="Q94" s="14" t="s">
        <v>900</v>
      </c>
      <c r="R94" s="9" t="s">
        <v>943</v>
      </c>
      <c r="S94" s="9" t="s">
        <v>37</v>
      </c>
      <c r="T94" s="9" t="s">
        <v>942</v>
      </c>
      <c r="U94" s="9" t="s">
        <v>304</v>
      </c>
      <c r="V94" s="9">
        <v>11</v>
      </c>
      <c r="W94" s="9" t="s">
        <v>305</v>
      </c>
      <c r="X94" s="9">
        <v>7.5</v>
      </c>
      <c r="Y94" s="9">
        <v>0.63100000000000001</v>
      </c>
      <c r="Z94" s="9" t="s">
        <v>37</v>
      </c>
      <c r="AA94" s="9">
        <v>50</v>
      </c>
      <c r="AB94" s="9">
        <v>50</v>
      </c>
      <c r="AC94" s="15">
        <f t="shared" ref="AC94:AC104" si="68">AB94/((Y94/100)*1000)</f>
        <v>7.9239302694136295</v>
      </c>
      <c r="AD94" s="15">
        <f t="shared" si="48"/>
        <v>10.730508062422144</v>
      </c>
      <c r="AE94" s="15">
        <f t="shared" si="64"/>
        <v>10.730508062422144</v>
      </c>
      <c r="AG94" s="16">
        <f t="shared" si="49"/>
        <v>1.5417004529495584</v>
      </c>
      <c r="AH94" s="26">
        <f t="shared" si="50"/>
        <v>0.6486344335482388</v>
      </c>
      <c r="AJ94" s="85" t="str">
        <f t="shared" si="51"/>
        <v>NOEC</v>
      </c>
      <c r="AK94" s="9">
        <f t="shared" si="57"/>
        <v>1</v>
      </c>
      <c r="AL94" s="18">
        <f t="shared" si="52"/>
        <v>10.730508062422144</v>
      </c>
      <c r="AM94" s="88" t="str">
        <f t="shared" si="53"/>
        <v>Chronic</v>
      </c>
      <c r="AN94" s="9">
        <f t="shared" si="58"/>
        <v>1</v>
      </c>
      <c r="AO94" s="18">
        <f t="shared" si="59"/>
        <v>10.730508062422144</v>
      </c>
      <c r="AP94" s="16"/>
      <c r="AQ94" s="132" t="str">
        <f t="shared" si="54"/>
        <v>NOEC</v>
      </c>
      <c r="AR94" s="67" t="s">
        <v>356</v>
      </c>
      <c r="AS94" s="88" t="str">
        <f t="shared" si="55"/>
        <v>Chronic</v>
      </c>
      <c r="AT94" s="67" t="str">
        <f t="shared" si="61"/>
        <v>y</v>
      </c>
      <c r="AU94" s="69" t="str">
        <f t="shared" si="41"/>
        <v>Growth (length)</v>
      </c>
      <c r="AV94" s="67" t="s">
        <v>55</v>
      </c>
      <c r="AW94" s="70">
        <f t="shared" si="42"/>
        <v>35</v>
      </c>
      <c r="AX94" s="67" t="s">
        <v>502</v>
      </c>
      <c r="AY94" s="67"/>
      <c r="AZ94" s="82">
        <f>AO94</f>
        <v>10.730508062422144</v>
      </c>
      <c r="BA94" s="72">
        <f>GEOMEAN(AZ94)</f>
        <v>10.730508062422144</v>
      </c>
      <c r="BB94" s="164">
        <f>MIN(BA92:BA95)</f>
        <v>10.730508062422144</v>
      </c>
      <c r="BC94" s="133">
        <f>MIN(BB89:BB95)</f>
        <v>10.730508062422144</v>
      </c>
    </row>
    <row r="95" spans="1:61" ht="15" customHeight="1" x14ac:dyDescent="0.25">
      <c r="A95" s="19" t="s">
        <v>309</v>
      </c>
      <c r="B95" s="9">
        <v>238</v>
      </c>
      <c r="C95" s="10" t="s">
        <v>24</v>
      </c>
      <c r="D95" s="11" t="s">
        <v>293</v>
      </c>
      <c r="E95" s="9" t="s">
        <v>178</v>
      </c>
      <c r="F95" s="9" t="s">
        <v>179</v>
      </c>
      <c r="G95" s="9" t="s">
        <v>52</v>
      </c>
      <c r="H95" s="9" t="s">
        <v>572</v>
      </c>
      <c r="I95" s="12" t="s">
        <v>224</v>
      </c>
      <c r="J95" s="12" t="s">
        <v>136</v>
      </c>
      <c r="K95" s="12" t="s">
        <v>302</v>
      </c>
      <c r="L95" s="12" t="s">
        <v>54</v>
      </c>
      <c r="M95" s="12">
        <v>42</v>
      </c>
      <c r="N95" s="9" t="s">
        <v>55</v>
      </c>
      <c r="O95" s="13" t="s">
        <v>33</v>
      </c>
      <c r="P95" s="14" t="s">
        <v>303</v>
      </c>
      <c r="Q95" s="14" t="s">
        <v>900</v>
      </c>
      <c r="R95" s="9" t="s">
        <v>943</v>
      </c>
      <c r="S95" s="9" t="s">
        <v>37</v>
      </c>
      <c r="T95" s="9" t="s">
        <v>942</v>
      </c>
      <c r="U95" s="9" t="s">
        <v>304</v>
      </c>
      <c r="V95" s="9">
        <v>11</v>
      </c>
      <c r="W95" s="9" t="s">
        <v>305</v>
      </c>
      <c r="X95" s="9">
        <v>7.5</v>
      </c>
      <c r="Y95" s="9">
        <v>0.63100000000000001</v>
      </c>
      <c r="Z95" s="9" t="s">
        <v>37</v>
      </c>
      <c r="AA95" s="9">
        <v>100</v>
      </c>
      <c r="AB95" s="9">
        <v>100</v>
      </c>
      <c r="AC95" s="27">
        <f t="shared" si="68"/>
        <v>15.847860538827259</v>
      </c>
      <c r="AD95" s="15">
        <f t="shared" si="48"/>
        <v>21.461016124844289</v>
      </c>
      <c r="AE95" s="15">
        <f t="shared" si="64"/>
        <v>21.461016124844289</v>
      </c>
      <c r="AG95" s="16">
        <f t="shared" si="49"/>
        <v>1.5417004529495584</v>
      </c>
      <c r="AH95" s="26">
        <f t="shared" si="50"/>
        <v>0.6486344335482388</v>
      </c>
      <c r="AJ95" s="85" t="str">
        <f t="shared" si="51"/>
        <v>NOEC</v>
      </c>
      <c r="AK95" s="9">
        <f t="shared" si="57"/>
        <v>1</v>
      </c>
      <c r="AL95" s="18">
        <f t="shared" si="52"/>
        <v>21.461016124844289</v>
      </c>
      <c r="AM95" s="88" t="str">
        <f t="shared" si="53"/>
        <v>Chronic</v>
      </c>
      <c r="AN95" s="9">
        <f t="shared" si="58"/>
        <v>1</v>
      </c>
      <c r="AO95" s="18">
        <f t="shared" si="59"/>
        <v>21.461016124844289</v>
      </c>
      <c r="AP95" s="16"/>
      <c r="AQ95" s="132" t="str">
        <f t="shared" si="54"/>
        <v>NOEC</v>
      </c>
      <c r="AR95" s="67" t="s">
        <v>356</v>
      </c>
      <c r="AS95" s="88" t="str">
        <f t="shared" si="55"/>
        <v>Chronic</v>
      </c>
      <c r="AT95" s="67" t="str">
        <f t="shared" si="61"/>
        <v>y</v>
      </c>
      <c r="AU95" s="69" t="str">
        <f t="shared" si="41"/>
        <v>Growth (length)</v>
      </c>
      <c r="AV95" s="67" t="s">
        <v>55</v>
      </c>
      <c r="AW95" s="70">
        <f t="shared" si="42"/>
        <v>42</v>
      </c>
      <c r="AX95" s="67" t="s">
        <v>503</v>
      </c>
      <c r="AY95" s="67"/>
      <c r="AZ95" s="82">
        <f>AO95</f>
        <v>21.461016124844289</v>
      </c>
      <c r="BA95" s="72">
        <f>GEOMEAN(AZ95)</f>
        <v>21.461016124844289</v>
      </c>
      <c r="BB95" s="78"/>
      <c r="BC95" s="133"/>
    </row>
    <row r="96" spans="1:61" ht="15" customHeight="1" x14ac:dyDescent="0.25">
      <c r="A96" s="19" t="s">
        <v>310</v>
      </c>
      <c r="B96" s="9">
        <v>252</v>
      </c>
      <c r="C96" s="10" t="s">
        <v>24</v>
      </c>
      <c r="D96" s="11" t="s">
        <v>293</v>
      </c>
      <c r="E96" s="9" t="s">
        <v>178</v>
      </c>
      <c r="F96" s="9" t="s">
        <v>179</v>
      </c>
      <c r="G96" s="9" t="s">
        <v>52</v>
      </c>
      <c r="H96" s="9" t="s">
        <v>572</v>
      </c>
      <c r="I96" s="29" t="s">
        <v>311</v>
      </c>
      <c r="J96" s="12" t="s">
        <v>53</v>
      </c>
      <c r="K96" s="12" t="s">
        <v>53</v>
      </c>
      <c r="L96" s="12" t="s">
        <v>112</v>
      </c>
      <c r="M96" s="12">
        <v>35</v>
      </c>
      <c r="N96" s="9" t="s">
        <v>55</v>
      </c>
      <c r="O96" s="13" t="s">
        <v>33</v>
      </c>
      <c r="P96" s="14" t="s">
        <v>312</v>
      </c>
      <c r="Q96" s="14" t="s">
        <v>900</v>
      </c>
      <c r="R96" s="9" t="s">
        <v>944</v>
      </c>
      <c r="S96" s="9" t="s">
        <v>37</v>
      </c>
      <c r="T96" s="9" t="s">
        <v>945</v>
      </c>
      <c r="U96" s="9" t="s">
        <v>313</v>
      </c>
      <c r="V96" s="9">
        <v>13.2</v>
      </c>
      <c r="W96" s="9" t="s">
        <v>314</v>
      </c>
      <c r="X96" s="9">
        <v>7.69</v>
      </c>
      <c r="Y96" s="9">
        <v>1.1519999999999999</v>
      </c>
      <c r="Z96" s="9" t="s">
        <v>37</v>
      </c>
      <c r="AA96" s="9" t="s">
        <v>315</v>
      </c>
      <c r="AB96" s="9">
        <v>265</v>
      </c>
      <c r="AC96" s="27">
        <f t="shared" si="68"/>
        <v>23.003472222222221</v>
      </c>
      <c r="AD96" s="15">
        <f t="shared" si="48"/>
        <v>37.571954411192969</v>
      </c>
      <c r="AE96" s="15">
        <f t="shared" si="64"/>
        <v>37.571954411192969</v>
      </c>
      <c r="AG96" s="16">
        <f t="shared" si="49"/>
        <v>0.99540541735152532</v>
      </c>
      <c r="AH96" s="26">
        <f t="shared" si="50"/>
        <v>1.0046157902783968</v>
      </c>
      <c r="AJ96" s="85" t="str">
        <f t="shared" si="51"/>
        <v>LC50</v>
      </c>
      <c r="AK96" s="9">
        <f t="shared" si="57"/>
        <v>5</v>
      </c>
      <c r="AL96" s="18">
        <f t="shared" si="52"/>
        <v>7.5143908822385939</v>
      </c>
      <c r="AM96" s="88" t="str">
        <f t="shared" si="53"/>
        <v>Chronic</v>
      </c>
      <c r="AN96" s="9">
        <f t="shared" si="58"/>
        <v>1</v>
      </c>
      <c r="AO96" s="18">
        <f t="shared" si="59"/>
        <v>7.5143908822385939</v>
      </c>
      <c r="AP96" s="16"/>
      <c r="AQ96" s="132" t="str">
        <f t="shared" si="54"/>
        <v>LC50</v>
      </c>
      <c r="AR96" s="67" t="s">
        <v>463</v>
      </c>
      <c r="AS96" s="88" t="str">
        <f t="shared" si="55"/>
        <v>Chronic</v>
      </c>
      <c r="AT96" s="67" t="str">
        <f t="shared" si="61"/>
        <v>y</v>
      </c>
      <c r="AU96" s="76" t="s">
        <v>466</v>
      </c>
      <c r="AV96" s="67"/>
      <c r="AW96" s="70"/>
      <c r="AX96" s="67"/>
      <c r="AY96" s="67"/>
      <c r="AZ96" s="80"/>
      <c r="BA96" s="89"/>
      <c r="BB96" s="83"/>
      <c r="BC96" s="133"/>
    </row>
    <row r="97" spans="1:61" ht="15" customHeight="1" x14ac:dyDescent="0.25">
      <c r="A97" s="19" t="s">
        <v>316</v>
      </c>
      <c r="B97" s="9">
        <v>252</v>
      </c>
      <c r="C97" s="10" t="s">
        <v>24</v>
      </c>
      <c r="D97" s="11" t="s">
        <v>293</v>
      </c>
      <c r="E97" s="9" t="s">
        <v>178</v>
      </c>
      <c r="F97" s="9" t="s">
        <v>179</v>
      </c>
      <c r="G97" s="9" t="s">
        <v>52</v>
      </c>
      <c r="H97" s="9" t="s">
        <v>572</v>
      </c>
      <c r="I97" s="29" t="s">
        <v>317</v>
      </c>
      <c r="J97" s="12" t="s">
        <v>53</v>
      </c>
      <c r="K97" s="12" t="s">
        <v>53</v>
      </c>
      <c r="L97" s="12" t="s">
        <v>112</v>
      </c>
      <c r="M97" s="12">
        <v>35</v>
      </c>
      <c r="N97" s="9" t="s">
        <v>55</v>
      </c>
      <c r="O97" s="13" t="s">
        <v>33</v>
      </c>
      <c r="P97" s="14" t="s">
        <v>312</v>
      </c>
      <c r="Q97" s="14" t="s">
        <v>900</v>
      </c>
      <c r="R97" s="9" t="s">
        <v>944</v>
      </c>
      <c r="S97" s="9" t="s">
        <v>37</v>
      </c>
      <c r="T97" s="9" t="s">
        <v>945</v>
      </c>
      <c r="U97" s="9" t="s">
        <v>318</v>
      </c>
      <c r="V97" s="9">
        <v>13.2</v>
      </c>
      <c r="W97" s="9" t="s">
        <v>319</v>
      </c>
      <c r="X97" s="9">
        <v>7.69</v>
      </c>
      <c r="Y97" s="9">
        <v>1.1519999999999999</v>
      </c>
      <c r="Z97" s="9" t="s">
        <v>37</v>
      </c>
      <c r="AA97" s="9" t="s">
        <v>320</v>
      </c>
      <c r="AB97" s="9">
        <v>351</v>
      </c>
      <c r="AC97" s="27">
        <f t="shared" si="68"/>
        <v>30.46875</v>
      </c>
      <c r="AD97" s="15">
        <f t="shared" si="48"/>
        <v>49.765116974825403</v>
      </c>
      <c r="AE97" s="15">
        <f t="shared" si="64"/>
        <v>49.765116974825403</v>
      </c>
      <c r="AG97" s="16">
        <f t="shared" si="49"/>
        <v>0.99540541735152532</v>
      </c>
      <c r="AH97" s="26">
        <f t="shared" si="50"/>
        <v>1.0046157902783968</v>
      </c>
      <c r="AJ97" s="85" t="str">
        <f t="shared" si="51"/>
        <v>LC50</v>
      </c>
      <c r="AK97" s="9">
        <f t="shared" si="57"/>
        <v>5</v>
      </c>
      <c r="AL97" s="18">
        <f t="shared" si="52"/>
        <v>9.953023394965081</v>
      </c>
      <c r="AM97" s="88" t="str">
        <f t="shared" si="53"/>
        <v>Chronic</v>
      </c>
      <c r="AN97" s="9">
        <f t="shared" si="58"/>
        <v>1</v>
      </c>
      <c r="AO97" s="18">
        <f t="shared" si="59"/>
        <v>9.953023394965081</v>
      </c>
      <c r="AP97" s="16"/>
      <c r="AQ97" s="132" t="str">
        <f t="shared" si="54"/>
        <v>LC50</v>
      </c>
      <c r="AR97" s="67" t="s">
        <v>463</v>
      </c>
      <c r="AS97" s="88" t="str">
        <f t="shared" si="55"/>
        <v>Chronic</v>
      </c>
      <c r="AT97" s="67" t="str">
        <f t="shared" si="61"/>
        <v>y</v>
      </c>
      <c r="AU97" s="76" t="s">
        <v>466</v>
      </c>
      <c r="AV97" s="67"/>
      <c r="AW97" s="70"/>
      <c r="AX97" s="67"/>
      <c r="AY97" s="67"/>
      <c r="AZ97" s="80"/>
      <c r="BA97" s="90"/>
      <c r="BB97" s="78"/>
      <c r="BC97" s="133"/>
    </row>
    <row r="98" spans="1:61" ht="15" customHeight="1" x14ac:dyDescent="0.25">
      <c r="A98" s="19" t="s">
        <v>321</v>
      </c>
      <c r="B98" s="9">
        <v>238</v>
      </c>
      <c r="C98" s="10" t="s">
        <v>24</v>
      </c>
      <c r="D98" s="11" t="s">
        <v>293</v>
      </c>
      <c r="E98" s="9" t="s">
        <v>178</v>
      </c>
      <c r="F98" s="9" t="s">
        <v>179</v>
      </c>
      <c r="G98" s="9" t="s">
        <v>52</v>
      </c>
      <c r="H98" s="9" t="s">
        <v>572</v>
      </c>
      <c r="I98" s="12" t="s">
        <v>224</v>
      </c>
      <c r="J98" s="12" t="s">
        <v>53</v>
      </c>
      <c r="K98" s="12" t="s">
        <v>53</v>
      </c>
      <c r="L98" s="12" t="s">
        <v>112</v>
      </c>
      <c r="M98" s="12">
        <v>21</v>
      </c>
      <c r="N98" s="9" t="s">
        <v>55</v>
      </c>
      <c r="O98" s="13" t="s">
        <v>33</v>
      </c>
      <c r="P98" s="14" t="s">
        <v>303</v>
      </c>
      <c r="Q98" s="14" t="s">
        <v>900</v>
      </c>
      <c r="R98" s="9" t="s">
        <v>943</v>
      </c>
      <c r="S98" s="9" t="s">
        <v>37</v>
      </c>
      <c r="T98" s="9" t="s">
        <v>942</v>
      </c>
      <c r="U98" s="9" t="s">
        <v>304</v>
      </c>
      <c r="V98" s="9">
        <v>11</v>
      </c>
      <c r="W98" s="9" t="s">
        <v>305</v>
      </c>
      <c r="X98" s="9">
        <v>7.5</v>
      </c>
      <c r="Y98" s="9">
        <v>0.63100000000000001</v>
      </c>
      <c r="Z98" s="9" t="s">
        <v>37</v>
      </c>
      <c r="AA98" s="9">
        <v>250</v>
      </c>
      <c r="AB98" s="20">
        <v>250</v>
      </c>
      <c r="AC98" s="27">
        <f t="shared" si="68"/>
        <v>39.61965134706815</v>
      </c>
      <c r="AD98" s="15">
        <f t="shared" si="48"/>
        <v>53.652540312110723</v>
      </c>
      <c r="AE98" s="15">
        <f t="shared" si="64"/>
        <v>53.652540312110723</v>
      </c>
      <c r="AG98" s="16">
        <f t="shared" si="49"/>
        <v>1.5417004529495584</v>
      </c>
      <c r="AH98" s="26">
        <f t="shared" si="50"/>
        <v>0.6486344335482388</v>
      </c>
      <c r="AJ98" s="85" t="str">
        <f t="shared" si="51"/>
        <v>LC50</v>
      </c>
      <c r="AK98" s="9">
        <f t="shared" si="57"/>
        <v>5</v>
      </c>
      <c r="AL98" s="18">
        <f t="shared" si="52"/>
        <v>10.730508062422144</v>
      </c>
      <c r="AM98" s="88" t="str">
        <f t="shared" si="53"/>
        <v>Chronic</v>
      </c>
      <c r="AN98" s="9">
        <f t="shared" si="58"/>
        <v>1</v>
      </c>
      <c r="AO98" s="18">
        <f t="shared" si="59"/>
        <v>10.730508062422144</v>
      </c>
      <c r="AP98" s="16"/>
      <c r="AQ98" s="110" t="str">
        <f t="shared" si="54"/>
        <v>LC50</v>
      </c>
      <c r="AR98" s="111" t="s">
        <v>463</v>
      </c>
      <c r="AS98" s="112" t="str">
        <f t="shared" si="55"/>
        <v>Chronic</v>
      </c>
      <c r="AT98" s="111" t="str">
        <f t="shared" si="61"/>
        <v>y</v>
      </c>
      <c r="AU98" s="76" t="s">
        <v>466</v>
      </c>
      <c r="AV98" s="111"/>
      <c r="AW98" s="114"/>
      <c r="AX98" s="111"/>
      <c r="AY98" s="111"/>
      <c r="AZ98" s="115"/>
      <c r="BA98" s="135"/>
      <c r="BB98" s="136"/>
      <c r="BC98" s="137"/>
    </row>
    <row r="99" spans="1:61" ht="14.5" customHeight="1" x14ac:dyDescent="0.25">
      <c r="A99" s="32" t="s">
        <v>322</v>
      </c>
      <c r="B99" s="33">
        <v>248</v>
      </c>
      <c r="C99" s="34" t="s">
        <v>24</v>
      </c>
      <c r="D99" s="35" t="s">
        <v>323</v>
      </c>
      <c r="E99" s="33" t="s">
        <v>178</v>
      </c>
      <c r="F99" s="33" t="s">
        <v>179</v>
      </c>
      <c r="G99" s="33" t="s">
        <v>52</v>
      </c>
      <c r="H99" s="33" t="s">
        <v>572</v>
      </c>
      <c r="I99" s="36" t="s">
        <v>324</v>
      </c>
      <c r="J99" s="36" t="s">
        <v>64</v>
      </c>
      <c r="K99" s="36" t="s">
        <v>325</v>
      </c>
      <c r="L99" s="36" t="s">
        <v>54</v>
      </c>
      <c r="M99" s="36" t="s">
        <v>326</v>
      </c>
      <c r="N99" s="33" t="s">
        <v>55</v>
      </c>
      <c r="O99" s="37" t="s">
        <v>33</v>
      </c>
      <c r="P99" s="38" t="s">
        <v>327</v>
      </c>
      <c r="Q99" s="38" t="s">
        <v>900</v>
      </c>
      <c r="R99" s="33" t="s">
        <v>939</v>
      </c>
      <c r="S99" s="33" t="s">
        <v>37</v>
      </c>
      <c r="T99" s="33" t="s">
        <v>946</v>
      </c>
      <c r="U99" s="33" t="s">
        <v>328</v>
      </c>
      <c r="V99" s="33">
        <v>24.1</v>
      </c>
      <c r="W99" s="33" t="s">
        <v>329</v>
      </c>
      <c r="X99" s="33">
        <v>8</v>
      </c>
      <c r="Y99" s="33">
        <v>5.0510000000000002</v>
      </c>
      <c r="Z99" s="33" t="s">
        <v>330</v>
      </c>
      <c r="AA99" s="33" t="s">
        <v>331</v>
      </c>
      <c r="AB99" s="33">
        <v>156</v>
      </c>
      <c r="AC99" s="39">
        <f t="shared" si="68"/>
        <v>3.0884973272619285</v>
      </c>
      <c r="AD99" s="40">
        <f t="shared" si="48"/>
        <v>7.5002697501134783</v>
      </c>
      <c r="AE99" s="40">
        <f t="shared" si="64"/>
        <v>7.5002697501134783</v>
      </c>
      <c r="AG99" s="16">
        <f t="shared" si="49"/>
        <v>0.48752849010338595</v>
      </c>
      <c r="AH99" s="26">
        <f t="shared" si="50"/>
        <v>2.051162178825567</v>
      </c>
      <c r="AJ99" s="85" t="str">
        <f t="shared" si="51"/>
        <v>NOEC</v>
      </c>
      <c r="AK99" s="9">
        <f t="shared" si="57"/>
        <v>1</v>
      </c>
      <c r="AL99" s="18">
        <f t="shared" si="52"/>
        <v>7.5002697501134783</v>
      </c>
      <c r="AM99" s="88" t="str">
        <f t="shared" si="53"/>
        <v>Chronic</v>
      </c>
      <c r="AN99" s="9">
        <f t="shared" si="58"/>
        <v>1</v>
      </c>
      <c r="AO99" s="18">
        <f t="shared" si="59"/>
        <v>7.5002697501134783</v>
      </c>
      <c r="AP99" s="16"/>
      <c r="AQ99" s="101" t="str">
        <f t="shared" si="54"/>
        <v>NOEC</v>
      </c>
      <c r="AR99" s="102" t="s">
        <v>356</v>
      </c>
      <c r="AS99" s="103" t="str">
        <f t="shared" si="55"/>
        <v>Chronic</v>
      </c>
      <c r="AT99" s="102" t="str">
        <f t="shared" si="61"/>
        <v>y</v>
      </c>
      <c r="AU99" s="139" t="s">
        <v>506</v>
      </c>
      <c r="AV99" s="102"/>
      <c r="AW99" s="105"/>
      <c r="AX99" s="102"/>
      <c r="AY99" s="102"/>
      <c r="AZ99" s="106"/>
      <c r="BA99" s="107"/>
      <c r="BB99" s="108"/>
      <c r="BC99" s="109"/>
    </row>
    <row r="100" spans="1:61" ht="16" x14ac:dyDescent="0.25">
      <c r="A100" s="32" t="s">
        <v>332</v>
      </c>
      <c r="B100" s="33">
        <v>248</v>
      </c>
      <c r="C100" s="34" t="s">
        <v>24</v>
      </c>
      <c r="D100" s="35" t="s">
        <v>323</v>
      </c>
      <c r="E100" s="33" t="s">
        <v>178</v>
      </c>
      <c r="F100" s="33" t="s">
        <v>179</v>
      </c>
      <c r="G100" s="33" t="s">
        <v>52</v>
      </c>
      <c r="H100" s="33" t="s">
        <v>572</v>
      </c>
      <c r="I100" s="36" t="s">
        <v>324</v>
      </c>
      <c r="J100" s="36" t="s">
        <v>177</v>
      </c>
      <c r="K100" s="36" t="s">
        <v>333</v>
      </c>
      <c r="L100" s="36" t="s">
        <v>54</v>
      </c>
      <c r="M100" s="36">
        <v>30</v>
      </c>
      <c r="N100" s="33" t="s">
        <v>55</v>
      </c>
      <c r="O100" s="37" t="s">
        <v>33</v>
      </c>
      <c r="P100" s="38" t="s">
        <v>327</v>
      </c>
      <c r="Q100" s="38" t="s">
        <v>900</v>
      </c>
      <c r="R100" s="33" t="s">
        <v>939</v>
      </c>
      <c r="S100" s="33" t="s">
        <v>37</v>
      </c>
      <c r="T100" s="33" t="s">
        <v>946</v>
      </c>
      <c r="U100" s="33" t="s">
        <v>328</v>
      </c>
      <c r="V100" s="33">
        <v>24.1</v>
      </c>
      <c r="W100" s="33" t="s">
        <v>329</v>
      </c>
      <c r="X100" s="33">
        <v>8</v>
      </c>
      <c r="Y100" s="33">
        <v>5.0510000000000002</v>
      </c>
      <c r="Z100" s="33" t="s">
        <v>334</v>
      </c>
      <c r="AA100" s="33" t="s">
        <v>335</v>
      </c>
      <c r="AB100" s="33">
        <v>362</v>
      </c>
      <c r="AC100" s="39">
        <f t="shared" si="68"/>
        <v>7.1668976440308851</v>
      </c>
      <c r="AD100" s="40">
        <f t="shared" si="48"/>
        <v>17.404472112442814</v>
      </c>
      <c r="AE100" s="40">
        <f t="shared" si="64"/>
        <v>17.404472112442814</v>
      </c>
      <c r="AG100" s="16">
        <f t="shared" si="49"/>
        <v>0.48752849010338595</v>
      </c>
      <c r="AH100" s="26">
        <f t="shared" si="50"/>
        <v>2.051162178825567</v>
      </c>
      <c r="AJ100" s="85" t="str">
        <f t="shared" si="51"/>
        <v>NOEC</v>
      </c>
      <c r="AK100" s="9">
        <f t="shared" si="57"/>
        <v>1</v>
      </c>
      <c r="AL100" s="18">
        <f t="shared" si="52"/>
        <v>17.404472112442814</v>
      </c>
      <c r="AM100" s="88" t="str">
        <f t="shared" si="53"/>
        <v>Chronic</v>
      </c>
      <c r="AN100" s="9">
        <f t="shared" si="58"/>
        <v>1</v>
      </c>
      <c r="AO100" s="18">
        <f t="shared" si="59"/>
        <v>17.404472112442814</v>
      </c>
      <c r="AP100" s="16"/>
      <c r="AQ100" s="132" t="str">
        <f t="shared" si="54"/>
        <v>NOEC</v>
      </c>
      <c r="AR100" s="67" t="s">
        <v>356</v>
      </c>
      <c r="AS100" s="88" t="str">
        <f t="shared" si="55"/>
        <v>Chronic</v>
      </c>
      <c r="AT100" s="67" t="str">
        <f t="shared" si="61"/>
        <v>y</v>
      </c>
      <c r="AU100" s="76" t="s">
        <v>506</v>
      </c>
      <c r="AV100" s="16"/>
      <c r="AW100" s="70"/>
      <c r="AX100" s="16"/>
      <c r="AY100" s="16"/>
      <c r="AZ100" s="9"/>
      <c r="BA100" s="16"/>
      <c r="BB100" s="16"/>
      <c r="BC100" s="160"/>
      <c r="BD100" s="16"/>
      <c r="BE100" s="16"/>
      <c r="BF100" s="16"/>
      <c r="BG100" s="16"/>
      <c r="BH100" s="16"/>
      <c r="BI100" s="16"/>
    </row>
    <row r="101" spans="1:61" ht="15" customHeight="1" x14ac:dyDescent="0.25">
      <c r="A101" s="32" t="s">
        <v>336</v>
      </c>
      <c r="B101" s="32" t="s">
        <v>337</v>
      </c>
      <c r="C101" s="34" t="s">
        <v>24</v>
      </c>
      <c r="D101" s="35" t="s">
        <v>323</v>
      </c>
      <c r="E101" s="33" t="s">
        <v>178</v>
      </c>
      <c r="F101" s="33" t="s">
        <v>179</v>
      </c>
      <c r="G101" s="33" t="s">
        <v>93</v>
      </c>
      <c r="H101" s="33" t="s">
        <v>572</v>
      </c>
      <c r="I101" s="36" t="s">
        <v>338</v>
      </c>
      <c r="J101" s="36" t="s">
        <v>53</v>
      </c>
      <c r="K101" s="36" t="s">
        <v>53</v>
      </c>
      <c r="L101" s="36" t="s">
        <v>54</v>
      </c>
      <c r="M101" s="36">
        <v>21</v>
      </c>
      <c r="N101" s="33" t="s">
        <v>55</v>
      </c>
      <c r="O101" s="33" t="s">
        <v>33</v>
      </c>
      <c r="P101" s="38" t="s">
        <v>339</v>
      </c>
      <c r="Q101" s="38" t="s">
        <v>900</v>
      </c>
      <c r="R101" s="33" t="s">
        <v>37</v>
      </c>
      <c r="S101" s="33" t="s">
        <v>37</v>
      </c>
      <c r="T101" s="33">
        <v>250</v>
      </c>
      <c r="U101" s="33" t="s">
        <v>340</v>
      </c>
      <c r="V101" s="33">
        <v>19.899999999999999</v>
      </c>
      <c r="W101" s="33" t="s">
        <v>341</v>
      </c>
      <c r="X101" s="33">
        <v>8.24</v>
      </c>
      <c r="Y101" s="33">
        <v>6.391</v>
      </c>
      <c r="Z101" s="33" t="s">
        <v>37</v>
      </c>
      <c r="AA101" s="33">
        <v>310</v>
      </c>
      <c r="AB101" s="33">
        <v>310</v>
      </c>
      <c r="AC101" s="39">
        <f t="shared" si="68"/>
        <v>4.8505711156313565</v>
      </c>
      <c r="AD101" s="40">
        <f t="shared" ref="AD101:AD132" si="69">AC101/((0.0278/(1+AG101))+(1.1994/(1+AH101)))</f>
        <v>17.050904207602951</v>
      </c>
      <c r="AE101" s="40">
        <f t="shared" si="64"/>
        <v>17.050904207602951</v>
      </c>
      <c r="AG101" s="16">
        <f t="shared" ref="AG101:AG132" si="70">POWER(10,7.688-X101)</f>
        <v>0.28054336379517103</v>
      </c>
      <c r="AH101" s="26">
        <f t="shared" ref="AH101:AH132" si="71">POWER(10,X101-7.688)</f>
        <v>3.5645113342624466</v>
      </c>
      <c r="AJ101" s="85" t="str">
        <f t="shared" ref="AJ101:AJ132" si="72">L101</f>
        <v>NOEC</v>
      </c>
      <c r="AK101" s="9">
        <f t="shared" si="57"/>
        <v>1</v>
      </c>
      <c r="AL101" s="18">
        <f t="shared" ref="AL101:AL132" si="73">AE101/AK101</f>
        <v>17.050904207602951</v>
      </c>
      <c r="AM101" s="88" t="str">
        <f t="shared" ref="AM101:AM132" si="74">O101</f>
        <v>Chronic</v>
      </c>
      <c r="AN101" s="9">
        <f t="shared" si="58"/>
        <v>1</v>
      </c>
      <c r="AO101" s="18">
        <f t="shared" si="59"/>
        <v>17.050904207602951</v>
      </c>
      <c r="AP101" s="16"/>
      <c r="AQ101" s="132" t="str">
        <f t="shared" ref="AQ101:AQ132" si="75">L101</f>
        <v>NOEC</v>
      </c>
      <c r="AR101" s="67" t="s">
        <v>356</v>
      </c>
      <c r="AS101" s="88" t="str">
        <f t="shared" ref="AS101:AS132" si="76">O101</f>
        <v>Chronic</v>
      </c>
      <c r="AT101" s="67" t="str">
        <f t="shared" si="61"/>
        <v>y</v>
      </c>
      <c r="AU101" s="76" t="s">
        <v>506</v>
      </c>
      <c r="AV101" s="67"/>
      <c r="AW101" s="70"/>
      <c r="AX101" s="67"/>
      <c r="AY101" s="67"/>
      <c r="AZ101" s="80"/>
      <c r="BA101" s="81"/>
      <c r="BB101" s="78"/>
      <c r="BC101" s="133"/>
    </row>
    <row r="102" spans="1:61" ht="16" x14ac:dyDescent="0.25">
      <c r="A102" s="32" t="s">
        <v>342</v>
      </c>
      <c r="B102" s="33">
        <v>243</v>
      </c>
      <c r="C102" s="34" t="s">
        <v>24</v>
      </c>
      <c r="D102" s="35" t="s">
        <v>323</v>
      </c>
      <c r="E102" s="33" t="s">
        <v>178</v>
      </c>
      <c r="F102" s="33" t="s">
        <v>179</v>
      </c>
      <c r="G102" s="33" t="s">
        <v>52</v>
      </c>
      <c r="H102" s="33" t="s">
        <v>572</v>
      </c>
      <c r="I102" s="36" t="s">
        <v>224</v>
      </c>
      <c r="J102" s="36" t="s">
        <v>53</v>
      </c>
      <c r="K102" s="36" t="s">
        <v>53</v>
      </c>
      <c r="L102" s="36" t="s">
        <v>54</v>
      </c>
      <c r="M102" s="36">
        <v>31</v>
      </c>
      <c r="N102" s="33" t="s">
        <v>55</v>
      </c>
      <c r="O102" s="37" t="s">
        <v>33</v>
      </c>
      <c r="P102" s="38" t="s">
        <v>79</v>
      </c>
      <c r="Q102" s="38" t="s">
        <v>900</v>
      </c>
      <c r="R102" s="33" t="s">
        <v>948</v>
      </c>
      <c r="S102" s="33" t="s">
        <v>37</v>
      </c>
      <c r="T102" s="33" t="s">
        <v>947</v>
      </c>
      <c r="U102" s="33" t="s">
        <v>343</v>
      </c>
      <c r="V102" s="33">
        <v>24.8</v>
      </c>
      <c r="W102" s="33" t="s">
        <v>344</v>
      </c>
      <c r="X102" s="33">
        <v>8.09</v>
      </c>
      <c r="Y102" s="33">
        <v>6.4359999999999999</v>
      </c>
      <c r="Z102" s="33" t="s">
        <v>37</v>
      </c>
      <c r="AA102" s="33">
        <v>170</v>
      </c>
      <c r="AB102" s="33">
        <v>170</v>
      </c>
      <c r="AC102" s="39">
        <f t="shared" si="68"/>
        <v>2.6413921690490989</v>
      </c>
      <c r="AD102" s="40">
        <f t="shared" si="69"/>
        <v>7.3308449820464174</v>
      </c>
      <c r="AE102" s="40">
        <f t="shared" si="64"/>
        <v>7.3308449820464174</v>
      </c>
      <c r="AG102" s="16">
        <f t="shared" si="70"/>
        <v>0.39627803425543928</v>
      </c>
      <c r="AH102" s="26">
        <f t="shared" si="71"/>
        <v>2.5234807724805757</v>
      </c>
      <c r="AJ102" s="85" t="str">
        <f t="shared" si="72"/>
        <v>NOEC</v>
      </c>
      <c r="AK102" s="9">
        <f t="shared" si="57"/>
        <v>1</v>
      </c>
      <c r="AL102" s="18">
        <f t="shared" si="73"/>
        <v>7.3308449820464174</v>
      </c>
      <c r="AM102" s="88" t="str">
        <f t="shared" si="74"/>
        <v>Chronic</v>
      </c>
      <c r="AN102" s="9">
        <f t="shared" si="58"/>
        <v>1</v>
      </c>
      <c r="AO102" s="18">
        <f t="shared" si="59"/>
        <v>7.3308449820464174</v>
      </c>
      <c r="AP102" s="16"/>
      <c r="AQ102" s="132" t="str">
        <f t="shared" si="75"/>
        <v>NOEC</v>
      </c>
      <c r="AR102" s="67" t="s">
        <v>356</v>
      </c>
      <c r="AS102" s="88" t="str">
        <f t="shared" si="76"/>
        <v>Chronic</v>
      </c>
      <c r="AT102" s="67" t="str">
        <f t="shared" si="61"/>
        <v>y</v>
      </c>
      <c r="AU102" s="76" t="s">
        <v>506</v>
      </c>
      <c r="AV102" s="67"/>
      <c r="AW102" s="70"/>
      <c r="AX102" s="67"/>
      <c r="AY102" s="67"/>
      <c r="AZ102" s="80"/>
      <c r="BA102" s="81"/>
      <c r="BB102" s="78"/>
      <c r="BC102" s="133"/>
    </row>
    <row r="103" spans="1:61" ht="15" customHeight="1" x14ac:dyDescent="0.25">
      <c r="A103" s="32" t="s">
        <v>345</v>
      </c>
      <c r="B103" s="32" t="s">
        <v>337</v>
      </c>
      <c r="C103" s="34" t="s">
        <v>24</v>
      </c>
      <c r="D103" s="35" t="s">
        <v>323</v>
      </c>
      <c r="E103" s="33" t="s">
        <v>178</v>
      </c>
      <c r="F103" s="33" t="s">
        <v>179</v>
      </c>
      <c r="G103" s="33" t="s">
        <v>93</v>
      </c>
      <c r="H103" s="33" t="s">
        <v>572</v>
      </c>
      <c r="I103" s="36" t="s">
        <v>338</v>
      </c>
      <c r="J103" s="36" t="s">
        <v>53</v>
      </c>
      <c r="K103" s="36" t="s">
        <v>53</v>
      </c>
      <c r="L103" s="36" t="s">
        <v>54</v>
      </c>
      <c r="M103" s="36">
        <v>28</v>
      </c>
      <c r="N103" s="33" t="s">
        <v>55</v>
      </c>
      <c r="O103" s="33" t="s">
        <v>33</v>
      </c>
      <c r="P103" s="38" t="s">
        <v>339</v>
      </c>
      <c r="Q103" s="38" t="s">
        <v>900</v>
      </c>
      <c r="R103" s="33" t="s">
        <v>37</v>
      </c>
      <c r="S103" s="33" t="s">
        <v>37</v>
      </c>
      <c r="T103" s="33">
        <v>250</v>
      </c>
      <c r="U103" s="33" t="s">
        <v>346</v>
      </c>
      <c r="V103" s="33">
        <v>19.899999999999999</v>
      </c>
      <c r="W103" s="33" t="s">
        <v>341</v>
      </c>
      <c r="X103" s="33">
        <v>8.24</v>
      </c>
      <c r="Y103" s="33">
        <v>6.391</v>
      </c>
      <c r="Z103" s="33" t="s">
        <v>37</v>
      </c>
      <c r="AA103" s="33">
        <v>310</v>
      </c>
      <c r="AB103" s="33">
        <v>310</v>
      </c>
      <c r="AC103" s="39">
        <f t="shared" si="68"/>
        <v>4.8505711156313565</v>
      </c>
      <c r="AD103" s="40">
        <f t="shared" si="69"/>
        <v>17.050904207602951</v>
      </c>
      <c r="AE103" s="40">
        <f t="shared" si="64"/>
        <v>17.050904207602951</v>
      </c>
      <c r="AG103" s="16">
        <f t="shared" si="70"/>
        <v>0.28054336379517103</v>
      </c>
      <c r="AH103" s="26">
        <f t="shared" si="71"/>
        <v>3.5645113342624466</v>
      </c>
      <c r="AJ103" s="85" t="str">
        <f t="shared" si="72"/>
        <v>NOEC</v>
      </c>
      <c r="AK103" s="9">
        <f t="shared" si="57"/>
        <v>1</v>
      </c>
      <c r="AL103" s="18">
        <f t="shared" si="73"/>
        <v>17.050904207602951</v>
      </c>
      <c r="AM103" s="88" t="str">
        <f t="shared" si="74"/>
        <v>Chronic</v>
      </c>
      <c r="AN103" s="9">
        <f t="shared" si="58"/>
        <v>1</v>
      </c>
      <c r="AO103" s="18">
        <f t="shared" si="59"/>
        <v>17.050904207602951</v>
      </c>
      <c r="AP103" s="16"/>
      <c r="AQ103" s="132" t="str">
        <f t="shared" si="75"/>
        <v>NOEC</v>
      </c>
      <c r="AR103" s="67" t="s">
        <v>356</v>
      </c>
      <c r="AS103" s="88" t="str">
        <f t="shared" si="76"/>
        <v>Chronic</v>
      </c>
      <c r="AT103" s="67" t="str">
        <f t="shared" si="61"/>
        <v>y</v>
      </c>
      <c r="AU103" s="76" t="s">
        <v>506</v>
      </c>
      <c r="AV103" s="67"/>
      <c r="AW103" s="70"/>
      <c r="AX103" s="67"/>
      <c r="AY103" s="67"/>
      <c r="AZ103" s="82"/>
      <c r="BA103" s="72"/>
      <c r="BB103" s="73"/>
      <c r="BC103" s="150"/>
    </row>
    <row r="104" spans="1:61" ht="15" customHeight="1" x14ac:dyDescent="0.25">
      <c r="A104" s="32" t="s">
        <v>347</v>
      </c>
      <c r="B104" s="32" t="s">
        <v>337</v>
      </c>
      <c r="C104" s="34" t="s">
        <v>24</v>
      </c>
      <c r="D104" s="35" t="s">
        <v>323</v>
      </c>
      <c r="E104" s="33" t="s">
        <v>178</v>
      </c>
      <c r="F104" s="33" t="s">
        <v>179</v>
      </c>
      <c r="G104" s="33" t="s">
        <v>93</v>
      </c>
      <c r="H104" s="33" t="s">
        <v>572</v>
      </c>
      <c r="I104" s="36" t="s">
        <v>338</v>
      </c>
      <c r="J104" s="36" t="s">
        <v>53</v>
      </c>
      <c r="K104" s="36" t="s">
        <v>53</v>
      </c>
      <c r="L104" s="36" t="s">
        <v>206</v>
      </c>
      <c r="M104" s="36">
        <v>28</v>
      </c>
      <c r="N104" s="33" t="s">
        <v>55</v>
      </c>
      <c r="O104" s="33" t="s">
        <v>33</v>
      </c>
      <c r="P104" s="38" t="s">
        <v>339</v>
      </c>
      <c r="Q104" s="38" t="s">
        <v>900</v>
      </c>
      <c r="R104" s="33" t="s">
        <v>37</v>
      </c>
      <c r="S104" s="33" t="s">
        <v>37</v>
      </c>
      <c r="T104" s="33">
        <v>250</v>
      </c>
      <c r="U104" s="33" t="s">
        <v>346</v>
      </c>
      <c r="V104" s="33">
        <v>19.899999999999999</v>
      </c>
      <c r="W104" s="33" t="s">
        <v>341</v>
      </c>
      <c r="X104" s="33">
        <v>8.24</v>
      </c>
      <c r="Y104" s="33">
        <v>6.391</v>
      </c>
      <c r="Z104" s="33" t="s">
        <v>37</v>
      </c>
      <c r="AA104" s="33">
        <v>420</v>
      </c>
      <c r="AB104" s="33">
        <v>420</v>
      </c>
      <c r="AC104" s="39">
        <f t="shared" si="68"/>
        <v>6.571741511500548</v>
      </c>
      <c r="AD104" s="40">
        <f t="shared" si="69"/>
        <v>23.101225055462066</v>
      </c>
      <c r="AE104" s="40">
        <f t="shared" si="64"/>
        <v>23.101225055462066</v>
      </c>
      <c r="AG104" s="16">
        <f t="shared" si="70"/>
        <v>0.28054336379517103</v>
      </c>
      <c r="AH104" s="26">
        <f t="shared" si="71"/>
        <v>3.5645113342624466</v>
      </c>
      <c r="AJ104" s="85" t="str">
        <f t="shared" si="72"/>
        <v>LC20</v>
      </c>
      <c r="AK104" s="9">
        <f t="shared" si="57"/>
        <v>1</v>
      </c>
      <c r="AL104" s="18">
        <f t="shared" si="73"/>
        <v>23.101225055462066</v>
      </c>
      <c r="AM104" s="88" t="str">
        <f t="shared" si="74"/>
        <v>Chronic</v>
      </c>
      <c r="AN104" s="9">
        <f t="shared" si="58"/>
        <v>1</v>
      </c>
      <c r="AO104" s="18">
        <f t="shared" si="59"/>
        <v>23.101225055462066</v>
      </c>
      <c r="AP104" s="16"/>
      <c r="AQ104" s="132" t="str">
        <f t="shared" si="75"/>
        <v>LC20</v>
      </c>
      <c r="AR104" s="67" t="s">
        <v>356</v>
      </c>
      <c r="AS104" s="88" t="str">
        <f t="shared" si="76"/>
        <v>Chronic</v>
      </c>
      <c r="AT104" s="67" t="str">
        <f t="shared" si="61"/>
        <v>y</v>
      </c>
      <c r="AU104" s="76" t="s">
        <v>506</v>
      </c>
      <c r="AV104" s="67"/>
      <c r="AW104" s="70"/>
      <c r="AX104" s="67"/>
      <c r="AY104" s="67"/>
      <c r="AZ104" s="80"/>
      <c r="BA104" s="81"/>
      <c r="BB104" s="78"/>
      <c r="BC104" s="133"/>
    </row>
    <row r="105" spans="1:61" ht="16" x14ac:dyDescent="0.25">
      <c r="A105" s="32" t="s">
        <v>348</v>
      </c>
      <c r="B105" s="32" t="s">
        <v>260</v>
      </c>
      <c r="C105" s="34" t="s">
        <v>24</v>
      </c>
      <c r="D105" s="35" t="s">
        <v>323</v>
      </c>
      <c r="E105" s="33" t="s">
        <v>178</v>
      </c>
      <c r="F105" s="33" t="s">
        <v>179</v>
      </c>
      <c r="G105" s="33" t="s">
        <v>93</v>
      </c>
      <c r="H105" s="33" t="s">
        <v>572</v>
      </c>
      <c r="I105" s="48" t="s">
        <v>128</v>
      </c>
      <c r="J105" s="36" t="s">
        <v>109</v>
      </c>
      <c r="K105" s="48" t="s">
        <v>53</v>
      </c>
      <c r="L105" s="33" t="s">
        <v>54</v>
      </c>
      <c r="M105" s="36">
        <v>30</v>
      </c>
      <c r="N105" s="33" t="s">
        <v>55</v>
      </c>
      <c r="O105" s="33" t="s">
        <v>33</v>
      </c>
      <c r="P105" s="38" t="s">
        <v>264</v>
      </c>
      <c r="Q105" s="38" t="s">
        <v>900</v>
      </c>
      <c r="R105" s="33" t="s">
        <v>37</v>
      </c>
      <c r="S105" s="33" t="s">
        <v>37</v>
      </c>
      <c r="T105" s="33" t="s">
        <v>937</v>
      </c>
      <c r="U105" s="33" t="s">
        <v>349</v>
      </c>
      <c r="V105" s="33">
        <v>24.7</v>
      </c>
      <c r="W105" s="33" t="s">
        <v>350</v>
      </c>
      <c r="X105" s="33">
        <v>7.92</v>
      </c>
      <c r="Y105" s="93">
        <v>4.4136417658692535</v>
      </c>
      <c r="Z105" s="33">
        <v>12.33</v>
      </c>
      <c r="AA105" s="33">
        <v>780</v>
      </c>
      <c r="AB105" s="33">
        <v>780</v>
      </c>
      <c r="AC105" s="33">
        <v>12.33</v>
      </c>
      <c r="AD105" s="40">
        <f t="shared" si="69"/>
        <v>26.760681245672512</v>
      </c>
      <c r="AE105" s="40">
        <f t="shared" si="64"/>
        <v>26.760681245672512</v>
      </c>
      <c r="AG105" s="16">
        <f t="shared" si="70"/>
        <v>0.58613816451402845</v>
      </c>
      <c r="AH105" s="26">
        <f t="shared" si="71"/>
        <v>1.7060823890031245</v>
      </c>
      <c r="AJ105" s="85" t="str">
        <f t="shared" si="72"/>
        <v>NOEC</v>
      </c>
      <c r="AK105" s="9">
        <f t="shared" si="57"/>
        <v>1</v>
      </c>
      <c r="AL105" s="18">
        <f t="shared" si="73"/>
        <v>26.760681245672512</v>
      </c>
      <c r="AM105" s="88" t="str">
        <f t="shared" si="74"/>
        <v>Chronic</v>
      </c>
      <c r="AN105" s="9">
        <f t="shared" si="58"/>
        <v>1</v>
      </c>
      <c r="AO105" s="18">
        <f t="shared" si="59"/>
        <v>26.760681245672512</v>
      </c>
      <c r="AP105" s="16"/>
      <c r="AQ105" s="132" t="str">
        <f t="shared" si="75"/>
        <v>NOEC</v>
      </c>
      <c r="AR105" s="67" t="s">
        <v>356</v>
      </c>
      <c r="AS105" s="88" t="str">
        <f t="shared" si="76"/>
        <v>Chronic</v>
      </c>
      <c r="AT105" s="67" t="str">
        <f t="shared" si="61"/>
        <v>y</v>
      </c>
      <c r="AU105" s="76" t="s">
        <v>506</v>
      </c>
      <c r="AV105" s="67"/>
      <c r="AW105" s="70"/>
      <c r="AX105" s="67"/>
      <c r="AY105" s="67"/>
      <c r="AZ105" s="80"/>
      <c r="BA105" s="81"/>
      <c r="BB105" s="78"/>
      <c r="BC105" s="133"/>
    </row>
    <row r="106" spans="1:61" ht="15" customHeight="1" x14ac:dyDescent="0.25">
      <c r="A106" s="32" t="s">
        <v>351</v>
      </c>
      <c r="B106" s="32" t="s">
        <v>260</v>
      </c>
      <c r="C106" s="34" t="s">
        <v>24</v>
      </c>
      <c r="D106" s="35" t="s">
        <v>323</v>
      </c>
      <c r="E106" s="33" t="s">
        <v>178</v>
      </c>
      <c r="F106" s="33" t="s">
        <v>179</v>
      </c>
      <c r="G106" s="33" t="s">
        <v>93</v>
      </c>
      <c r="H106" s="33" t="s">
        <v>572</v>
      </c>
      <c r="I106" s="36" t="s">
        <v>224</v>
      </c>
      <c r="J106" s="36" t="s">
        <v>53</v>
      </c>
      <c r="K106" s="36" t="s">
        <v>352</v>
      </c>
      <c r="L106" s="33" t="s">
        <v>54</v>
      </c>
      <c r="M106" s="33">
        <v>32</v>
      </c>
      <c r="N106" s="33" t="s">
        <v>55</v>
      </c>
      <c r="O106" s="33" t="s">
        <v>33</v>
      </c>
      <c r="P106" s="38" t="s">
        <v>264</v>
      </c>
      <c r="Q106" s="38" t="s">
        <v>900</v>
      </c>
      <c r="R106" s="33" t="s">
        <v>37</v>
      </c>
      <c r="S106" s="33" t="s">
        <v>37</v>
      </c>
      <c r="T106" s="33" t="s">
        <v>937</v>
      </c>
      <c r="U106" s="33" t="s">
        <v>353</v>
      </c>
      <c r="V106" s="33">
        <v>25.5</v>
      </c>
      <c r="W106" s="33" t="s">
        <v>495</v>
      </c>
      <c r="X106" s="33">
        <v>7.95</v>
      </c>
      <c r="Y106" s="93">
        <v>4.9749734101464762</v>
      </c>
      <c r="Z106" s="33">
        <v>5.91</v>
      </c>
      <c r="AA106" s="33">
        <v>410</v>
      </c>
      <c r="AB106" s="33">
        <v>410</v>
      </c>
      <c r="AC106" s="33">
        <v>5.91</v>
      </c>
      <c r="AD106" s="40">
        <f t="shared" si="69"/>
        <v>13.368892212394806</v>
      </c>
      <c r="AE106" s="40">
        <f t="shared" si="64"/>
        <v>13.368892212394806</v>
      </c>
      <c r="AG106" s="16">
        <f t="shared" si="70"/>
        <v>0.54701596289397092</v>
      </c>
      <c r="AH106" s="26">
        <f t="shared" si="71"/>
        <v>1.8281002161427449</v>
      </c>
      <c r="AJ106" s="85" t="str">
        <f t="shared" si="72"/>
        <v>NOEC</v>
      </c>
      <c r="AK106" s="9">
        <f t="shared" si="57"/>
        <v>1</v>
      </c>
      <c r="AL106" s="18">
        <f t="shared" si="73"/>
        <v>13.368892212394806</v>
      </c>
      <c r="AM106" s="88" t="str">
        <f t="shared" si="74"/>
        <v>Chronic</v>
      </c>
      <c r="AN106" s="9">
        <f t="shared" si="58"/>
        <v>1</v>
      </c>
      <c r="AO106" s="18">
        <f t="shared" si="59"/>
        <v>13.368892212394806</v>
      </c>
      <c r="AP106" s="16"/>
      <c r="AQ106" s="132" t="str">
        <f t="shared" si="75"/>
        <v>NOEC</v>
      </c>
      <c r="AR106" s="67" t="s">
        <v>356</v>
      </c>
      <c r="AS106" s="88" t="str">
        <f t="shared" si="76"/>
        <v>Chronic</v>
      </c>
      <c r="AT106" s="67" t="str">
        <f t="shared" si="61"/>
        <v>y</v>
      </c>
      <c r="AU106" s="76" t="s">
        <v>506</v>
      </c>
      <c r="AV106" s="67"/>
      <c r="AW106" s="70"/>
      <c r="AX106" s="67"/>
      <c r="AY106" s="67"/>
      <c r="AZ106" s="80"/>
      <c r="BA106" s="81"/>
      <c r="BB106" s="78"/>
      <c r="BC106" s="133"/>
      <c r="BD106" t="s">
        <v>528</v>
      </c>
    </row>
    <row r="107" spans="1:61" ht="16" x14ac:dyDescent="0.25">
      <c r="A107" s="32" t="s">
        <v>354</v>
      </c>
      <c r="B107" s="33">
        <v>248</v>
      </c>
      <c r="C107" s="34" t="s">
        <v>24</v>
      </c>
      <c r="D107" s="35" t="s">
        <v>323</v>
      </c>
      <c r="E107" s="33" t="s">
        <v>178</v>
      </c>
      <c r="F107" s="33" t="s">
        <v>179</v>
      </c>
      <c r="G107" s="33" t="s">
        <v>52</v>
      </c>
      <c r="H107" s="33" t="s">
        <v>572</v>
      </c>
      <c r="I107" s="36" t="s">
        <v>324</v>
      </c>
      <c r="J107" s="36" t="s">
        <v>53</v>
      </c>
      <c r="K107" s="36" t="s">
        <v>53</v>
      </c>
      <c r="L107" s="36" t="s">
        <v>54</v>
      </c>
      <c r="M107" s="36" t="s">
        <v>355</v>
      </c>
      <c r="N107" s="33" t="s">
        <v>356</v>
      </c>
      <c r="O107" s="37" t="s">
        <v>33</v>
      </c>
      <c r="P107" s="38" t="s">
        <v>327</v>
      </c>
      <c r="Q107" s="38" t="s">
        <v>900</v>
      </c>
      <c r="R107" s="33" t="s">
        <v>939</v>
      </c>
      <c r="S107" s="33" t="s">
        <v>37</v>
      </c>
      <c r="T107" s="33" t="s">
        <v>946</v>
      </c>
      <c r="U107" s="33" t="s">
        <v>328</v>
      </c>
      <c r="V107" s="33">
        <v>24.1</v>
      </c>
      <c r="W107" s="33" t="s">
        <v>329</v>
      </c>
      <c r="X107" s="33">
        <v>8</v>
      </c>
      <c r="Y107" s="33">
        <v>5.0510000000000002</v>
      </c>
      <c r="Z107" s="33" t="s">
        <v>334</v>
      </c>
      <c r="AA107" s="33" t="s">
        <v>335</v>
      </c>
      <c r="AB107" s="33">
        <v>360</v>
      </c>
      <c r="AC107" s="39">
        <f t="shared" ref="AC107:AC127" si="77">AB107/((Y107/100)*1000)</f>
        <v>7.1273015244506039</v>
      </c>
      <c r="AD107" s="40">
        <f t="shared" si="69"/>
        <v>17.308314807954179</v>
      </c>
      <c r="AE107" s="40">
        <f t="shared" si="64"/>
        <v>17.308314807954179</v>
      </c>
      <c r="AG107" s="16">
        <f t="shared" si="70"/>
        <v>0.48752849010338595</v>
      </c>
      <c r="AH107" s="26">
        <f t="shared" si="71"/>
        <v>2.051162178825567</v>
      </c>
      <c r="AJ107" s="85" t="str">
        <f t="shared" si="72"/>
        <v>NOEC</v>
      </c>
      <c r="AK107" s="9">
        <f t="shared" si="57"/>
        <v>1</v>
      </c>
      <c r="AL107" s="18">
        <f t="shared" si="73"/>
        <v>17.308314807954179</v>
      </c>
      <c r="AM107" s="88" t="str">
        <f t="shared" si="74"/>
        <v>Chronic</v>
      </c>
      <c r="AN107" s="9">
        <f t="shared" si="58"/>
        <v>1</v>
      </c>
      <c r="AO107" s="18">
        <f t="shared" si="59"/>
        <v>17.308314807954179</v>
      </c>
      <c r="AP107" s="16"/>
      <c r="AQ107" s="132" t="str">
        <f t="shared" si="75"/>
        <v>NOEC</v>
      </c>
      <c r="AR107" s="67" t="s">
        <v>356</v>
      </c>
      <c r="AS107" s="88" t="str">
        <f t="shared" si="76"/>
        <v>Chronic</v>
      </c>
      <c r="AT107" s="67" t="str">
        <f t="shared" si="61"/>
        <v>y</v>
      </c>
      <c r="AU107" s="76" t="s">
        <v>506</v>
      </c>
      <c r="AV107" s="67"/>
      <c r="AW107" s="70"/>
      <c r="AX107" s="67"/>
      <c r="AY107" s="67"/>
      <c r="AZ107" s="80"/>
      <c r="BA107" s="81"/>
      <c r="BB107" s="78"/>
      <c r="BC107" s="133"/>
      <c r="BD107" t="s">
        <v>518</v>
      </c>
    </row>
    <row r="108" spans="1:61" ht="16" x14ac:dyDescent="0.25">
      <c r="A108" s="32" t="s">
        <v>357</v>
      </c>
      <c r="B108" s="33">
        <v>243</v>
      </c>
      <c r="C108" s="34" t="s">
        <v>24</v>
      </c>
      <c r="D108" s="35" t="s">
        <v>323</v>
      </c>
      <c r="E108" s="33" t="s">
        <v>178</v>
      </c>
      <c r="F108" s="33" t="s">
        <v>179</v>
      </c>
      <c r="G108" s="33" t="s">
        <v>52</v>
      </c>
      <c r="H108" s="33" t="s">
        <v>572</v>
      </c>
      <c r="I108" s="36" t="s">
        <v>224</v>
      </c>
      <c r="J108" s="36" t="s">
        <v>358</v>
      </c>
      <c r="K108" s="36" t="s">
        <v>359</v>
      </c>
      <c r="L108" s="36" t="s">
        <v>54</v>
      </c>
      <c r="M108" s="36">
        <v>31</v>
      </c>
      <c r="N108" s="33" t="s">
        <v>55</v>
      </c>
      <c r="O108" s="37" t="s">
        <v>33</v>
      </c>
      <c r="P108" s="38" t="s">
        <v>79</v>
      </c>
      <c r="Q108" s="38" t="s">
        <v>900</v>
      </c>
      <c r="R108" s="33" t="s">
        <v>948</v>
      </c>
      <c r="S108" s="33" t="s">
        <v>37</v>
      </c>
      <c r="T108" s="33" t="s">
        <v>947</v>
      </c>
      <c r="U108" s="33" t="s">
        <v>343</v>
      </c>
      <c r="V108" s="33">
        <v>24.8</v>
      </c>
      <c r="W108" s="33" t="s">
        <v>344</v>
      </c>
      <c r="X108" s="33">
        <v>8.09</v>
      </c>
      <c r="Y108" s="33">
        <v>6.4359999999999999</v>
      </c>
      <c r="Z108" s="33" t="s">
        <v>37</v>
      </c>
      <c r="AA108" s="33">
        <v>170</v>
      </c>
      <c r="AB108" s="33">
        <v>170</v>
      </c>
      <c r="AC108" s="39">
        <f t="shared" si="77"/>
        <v>2.6413921690490989</v>
      </c>
      <c r="AD108" s="40">
        <f t="shared" si="69"/>
        <v>7.3308449820464174</v>
      </c>
      <c r="AE108" s="40">
        <f t="shared" si="64"/>
        <v>7.3308449820464174</v>
      </c>
      <c r="AG108" s="16">
        <f t="shared" si="70"/>
        <v>0.39627803425543928</v>
      </c>
      <c r="AH108" s="26">
        <f t="shared" si="71"/>
        <v>2.5234807724805757</v>
      </c>
      <c r="AJ108" s="85" t="str">
        <f t="shared" si="72"/>
        <v>NOEC</v>
      </c>
      <c r="AK108" s="9">
        <f t="shared" si="57"/>
        <v>1</v>
      </c>
      <c r="AL108" s="18">
        <f t="shared" si="73"/>
        <v>7.3308449820464174</v>
      </c>
      <c r="AM108" s="88" t="str">
        <f t="shared" si="74"/>
        <v>Chronic</v>
      </c>
      <c r="AN108" s="9">
        <f t="shared" si="58"/>
        <v>1</v>
      </c>
      <c r="AO108" s="18">
        <f t="shared" si="59"/>
        <v>7.3308449820464174</v>
      </c>
      <c r="AP108" s="16"/>
      <c r="AQ108" s="132" t="str">
        <f t="shared" si="75"/>
        <v>NOEC</v>
      </c>
      <c r="AR108" s="67" t="s">
        <v>356</v>
      </c>
      <c r="AS108" s="88" t="str">
        <f t="shared" si="76"/>
        <v>Chronic</v>
      </c>
      <c r="AT108" s="67" t="str">
        <f t="shared" si="61"/>
        <v>y</v>
      </c>
      <c r="AU108" s="76" t="s">
        <v>506</v>
      </c>
      <c r="AV108" s="67"/>
      <c r="AW108" s="70"/>
      <c r="AX108" s="67"/>
      <c r="AY108" s="67"/>
      <c r="AZ108" s="80"/>
      <c r="BA108" s="81"/>
      <c r="BB108" s="78"/>
      <c r="BC108" s="133"/>
      <c r="BD108" t="s">
        <v>519</v>
      </c>
    </row>
    <row r="109" spans="1:61" ht="16" x14ac:dyDescent="0.25">
      <c r="A109" s="32" t="s">
        <v>360</v>
      </c>
      <c r="B109" s="33">
        <v>247</v>
      </c>
      <c r="C109" s="34" t="s">
        <v>24</v>
      </c>
      <c r="D109" s="35" t="s">
        <v>323</v>
      </c>
      <c r="E109" s="33" t="s">
        <v>178</v>
      </c>
      <c r="F109" s="33" t="s">
        <v>179</v>
      </c>
      <c r="G109" s="33" t="s">
        <v>52</v>
      </c>
      <c r="H109" s="33" t="s">
        <v>572</v>
      </c>
      <c r="I109" s="36" t="s">
        <v>224</v>
      </c>
      <c r="J109" s="36" t="s">
        <v>219</v>
      </c>
      <c r="K109" s="36" t="s">
        <v>225</v>
      </c>
      <c r="L109" s="36" t="s">
        <v>54</v>
      </c>
      <c r="M109" s="48">
        <v>28</v>
      </c>
      <c r="N109" s="33" t="s">
        <v>55</v>
      </c>
      <c r="O109" s="37" t="s">
        <v>33</v>
      </c>
      <c r="P109" s="38" t="s">
        <v>226</v>
      </c>
      <c r="Q109" s="38" t="s">
        <v>900</v>
      </c>
      <c r="R109" s="33" t="s">
        <v>918</v>
      </c>
      <c r="S109" s="33" t="s">
        <v>37</v>
      </c>
      <c r="T109" s="33">
        <v>300</v>
      </c>
      <c r="U109" s="33" t="s">
        <v>361</v>
      </c>
      <c r="V109" s="33">
        <v>25.4</v>
      </c>
      <c r="W109" s="33" t="s">
        <v>362</v>
      </c>
      <c r="X109" s="33">
        <v>7.9</v>
      </c>
      <c r="Y109" s="33">
        <v>4.4279999999999999</v>
      </c>
      <c r="Z109" s="33" t="s">
        <v>37</v>
      </c>
      <c r="AA109" s="33">
        <v>120</v>
      </c>
      <c r="AB109" s="33">
        <v>120</v>
      </c>
      <c r="AC109" s="39">
        <f t="shared" si="77"/>
        <v>2.7100271002710028</v>
      </c>
      <c r="AD109" s="40">
        <f t="shared" si="69"/>
        <v>5.7246689091103375</v>
      </c>
      <c r="AE109" s="40">
        <f t="shared" si="64"/>
        <v>5.7246689091103375</v>
      </c>
      <c r="AG109" s="16">
        <f t="shared" si="70"/>
        <v>0.61376200516479329</v>
      </c>
      <c r="AH109" s="26">
        <f t="shared" si="71"/>
        <v>1.6292960326397248</v>
      </c>
      <c r="AJ109" s="85" t="str">
        <f t="shared" si="72"/>
        <v>NOEC</v>
      </c>
      <c r="AK109" s="9">
        <f t="shared" si="57"/>
        <v>1</v>
      </c>
      <c r="AL109" s="18">
        <f t="shared" si="73"/>
        <v>5.7246689091103375</v>
      </c>
      <c r="AM109" s="88" t="str">
        <f t="shared" si="74"/>
        <v>Chronic</v>
      </c>
      <c r="AN109" s="9">
        <f t="shared" si="58"/>
        <v>1</v>
      </c>
      <c r="AO109" s="18">
        <f t="shared" si="59"/>
        <v>5.7246689091103375</v>
      </c>
      <c r="AP109" s="16"/>
      <c r="AQ109" s="132" t="str">
        <f t="shared" si="75"/>
        <v>NOEC</v>
      </c>
      <c r="AR109" s="67" t="s">
        <v>356</v>
      </c>
      <c r="AS109" s="88" t="str">
        <f t="shared" si="76"/>
        <v>Chronic</v>
      </c>
      <c r="AT109" s="67" t="str">
        <f t="shared" si="61"/>
        <v>y</v>
      </c>
      <c r="AU109" s="76" t="s">
        <v>506</v>
      </c>
      <c r="AV109" s="67"/>
      <c r="AW109" s="70"/>
      <c r="AX109" s="67"/>
      <c r="AY109" s="67"/>
      <c r="AZ109" s="80"/>
      <c r="BA109" s="81"/>
      <c r="BB109" s="78"/>
      <c r="BC109" s="133"/>
      <c r="BD109" t="s">
        <v>520</v>
      </c>
    </row>
    <row r="110" spans="1:61" ht="15" customHeight="1" x14ac:dyDescent="0.25">
      <c r="A110" s="32" t="s">
        <v>363</v>
      </c>
      <c r="B110" s="32" t="s">
        <v>337</v>
      </c>
      <c r="C110" s="34" t="s">
        <v>24</v>
      </c>
      <c r="D110" s="35" t="s">
        <v>323</v>
      </c>
      <c r="E110" s="33" t="s">
        <v>178</v>
      </c>
      <c r="F110" s="33" t="s">
        <v>179</v>
      </c>
      <c r="G110" s="33" t="s">
        <v>93</v>
      </c>
      <c r="H110" s="33" t="s">
        <v>572</v>
      </c>
      <c r="I110" s="36" t="s">
        <v>338</v>
      </c>
      <c r="J110" s="36" t="s">
        <v>180</v>
      </c>
      <c r="K110" s="36" t="s">
        <v>364</v>
      </c>
      <c r="L110" s="36" t="s">
        <v>54</v>
      </c>
      <c r="M110" s="36">
        <v>28</v>
      </c>
      <c r="N110" s="33" t="s">
        <v>55</v>
      </c>
      <c r="O110" s="33" t="s">
        <v>33</v>
      </c>
      <c r="P110" s="38" t="s">
        <v>339</v>
      </c>
      <c r="Q110" s="38" t="s">
        <v>900</v>
      </c>
      <c r="R110" s="33" t="s">
        <v>37</v>
      </c>
      <c r="S110" s="33" t="s">
        <v>37</v>
      </c>
      <c r="T110" s="33">
        <v>250</v>
      </c>
      <c r="U110" s="33" t="s">
        <v>346</v>
      </c>
      <c r="V110" s="33">
        <v>19.899999999999999</v>
      </c>
      <c r="W110" s="33" t="s">
        <v>341</v>
      </c>
      <c r="X110" s="33">
        <v>8.24</v>
      </c>
      <c r="Y110" s="33">
        <v>6.391</v>
      </c>
      <c r="Z110" s="33" t="s">
        <v>37</v>
      </c>
      <c r="AA110" s="33">
        <v>930</v>
      </c>
      <c r="AB110" s="33">
        <v>930</v>
      </c>
      <c r="AC110" s="39">
        <f t="shared" si="77"/>
        <v>14.55171334689407</v>
      </c>
      <c r="AD110" s="40">
        <f t="shared" si="69"/>
        <v>51.152712622808863</v>
      </c>
      <c r="AE110" s="40">
        <f t="shared" si="64"/>
        <v>51.152712622808863</v>
      </c>
      <c r="AG110" s="16">
        <f t="shared" si="70"/>
        <v>0.28054336379517103</v>
      </c>
      <c r="AH110" s="26">
        <f t="shared" si="71"/>
        <v>3.5645113342624466</v>
      </c>
      <c r="AJ110" s="85" t="str">
        <f t="shared" si="72"/>
        <v>NOEC</v>
      </c>
      <c r="AK110" s="9">
        <f t="shared" si="57"/>
        <v>1</v>
      </c>
      <c r="AL110" s="18">
        <f t="shared" si="73"/>
        <v>51.152712622808863</v>
      </c>
      <c r="AM110" s="88" t="str">
        <f t="shared" si="74"/>
        <v>Chronic</v>
      </c>
      <c r="AN110" s="9">
        <f t="shared" si="58"/>
        <v>1</v>
      </c>
      <c r="AO110" s="18">
        <f t="shared" si="59"/>
        <v>51.152712622808863</v>
      </c>
      <c r="AP110" s="16"/>
      <c r="AQ110" s="132" t="str">
        <f t="shared" si="75"/>
        <v>NOEC</v>
      </c>
      <c r="AR110" s="67" t="s">
        <v>356</v>
      </c>
      <c r="AS110" s="88" t="str">
        <f t="shared" si="76"/>
        <v>Chronic</v>
      </c>
      <c r="AT110" s="67" t="str">
        <f t="shared" si="61"/>
        <v>y</v>
      </c>
      <c r="AU110" s="76" t="s">
        <v>506</v>
      </c>
      <c r="AV110" s="67"/>
      <c r="AW110" s="70"/>
      <c r="AX110" s="67"/>
      <c r="AY110" s="67"/>
      <c r="AZ110" s="80"/>
      <c r="BA110" s="81"/>
      <c r="BB110" s="78"/>
      <c r="BC110" s="133"/>
    </row>
    <row r="111" spans="1:61" ht="16" x14ac:dyDescent="0.25">
      <c r="A111" s="32" t="s">
        <v>365</v>
      </c>
      <c r="B111" s="33">
        <v>243</v>
      </c>
      <c r="C111" s="34" t="s">
        <v>24</v>
      </c>
      <c r="D111" s="35" t="s">
        <v>323</v>
      </c>
      <c r="E111" s="33" t="s">
        <v>178</v>
      </c>
      <c r="F111" s="33" t="s">
        <v>179</v>
      </c>
      <c r="G111" s="33" t="s">
        <v>52</v>
      </c>
      <c r="H111" s="33" t="s">
        <v>572</v>
      </c>
      <c r="I111" s="36" t="s">
        <v>224</v>
      </c>
      <c r="J111" s="36" t="s">
        <v>219</v>
      </c>
      <c r="K111" s="36" t="s">
        <v>366</v>
      </c>
      <c r="L111" s="36" t="s">
        <v>54</v>
      </c>
      <c r="M111" s="36">
        <v>31</v>
      </c>
      <c r="N111" s="33" t="s">
        <v>55</v>
      </c>
      <c r="O111" s="37" t="s">
        <v>33</v>
      </c>
      <c r="P111" s="38" t="s">
        <v>79</v>
      </c>
      <c r="Q111" s="38" t="s">
        <v>900</v>
      </c>
      <c r="R111" s="33" t="s">
        <v>948</v>
      </c>
      <c r="S111" s="33" t="s">
        <v>37</v>
      </c>
      <c r="T111" s="33" t="s">
        <v>947</v>
      </c>
      <c r="U111" s="33" t="s">
        <v>343</v>
      </c>
      <c r="V111" s="33">
        <v>24.8</v>
      </c>
      <c r="W111" s="33" t="s">
        <v>344</v>
      </c>
      <c r="X111" s="33">
        <v>8.09</v>
      </c>
      <c r="Y111" s="33">
        <v>6.4359999999999999</v>
      </c>
      <c r="Z111" s="33" t="s">
        <v>37</v>
      </c>
      <c r="AA111" s="33">
        <v>100</v>
      </c>
      <c r="AB111" s="33">
        <v>100</v>
      </c>
      <c r="AC111" s="39">
        <f t="shared" si="77"/>
        <v>1.5537600994406464</v>
      </c>
      <c r="AD111" s="40">
        <f t="shared" si="69"/>
        <v>4.3122617541449513</v>
      </c>
      <c r="AE111" s="40">
        <f t="shared" si="64"/>
        <v>4.3122617541449513</v>
      </c>
      <c r="AG111" s="16">
        <f t="shared" si="70"/>
        <v>0.39627803425543928</v>
      </c>
      <c r="AH111" s="26">
        <f t="shared" si="71"/>
        <v>2.5234807724805757</v>
      </c>
      <c r="AJ111" s="85" t="str">
        <f t="shared" si="72"/>
        <v>NOEC</v>
      </c>
      <c r="AK111" s="9">
        <f t="shared" si="57"/>
        <v>1</v>
      </c>
      <c r="AL111" s="18">
        <f t="shared" si="73"/>
        <v>4.3122617541449513</v>
      </c>
      <c r="AM111" s="88" t="str">
        <f t="shared" si="74"/>
        <v>Chronic</v>
      </c>
      <c r="AN111" s="9">
        <f t="shared" si="58"/>
        <v>1</v>
      </c>
      <c r="AO111" s="18">
        <f t="shared" si="59"/>
        <v>4.3122617541449513</v>
      </c>
      <c r="AP111" s="16"/>
      <c r="AQ111" s="132" t="str">
        <f t="shared" si="75"/>
        <v>NOEC</v>
      </c>
      <c r="AR111" s="67" t="s">
        <v>356</v>
      </c>
      <c r="AS111" s="88" t="str">
        <f t="shared" si="76"/>
        <v>Chronic</v>
      </c>
      <c r="AT111" s="67" t="str">
        <f t="shared" si="61"/>
        <v>y</v>
      </c>
      <c r="AU111" s="76" t="s">
        <v>506</v>
      </c>
      <c r="AV111" s="67"/>
      <c r="AW111" s="70"/>
      <c r="AX111" s="67"/>
      <c r="AY111" s="67"/>
      <c r="AZ111" s="80"/>
      <c r="BA111" s="81"/>
      <c r="BB111" s="78"/>
      <c r="BC111" s="133"/>
    </row>
    <row r="112" spans="1:61" ht="16" x14ac:dyDescent="0.25">
      <c r="A112" s="32" t="s">
        <v>367</v>
      </c>
      <c r="B112" s="32" t="s">
        <v>337</v>
      </c>
      <c r="C112" s="34" t="s">
        <v>24</v>
      </c>
      <c r="D112" s="35" t="s">
        <v>323</v>
      </c>
      <c r="E112" s="33" t="s">
        <v>178</v>
      </c>
      <c r="F112" s="33" t="s">
        <v>179</v>
      </c>
      <c r="G112" s="33" t="s">
        <v>93</v>
      </c>
      <c r="H112" s="33" t="s">
        <v>572</v>
      </c>
      <c r="I112" s="36" t="s">
        <v>338</v>
      </c>
      <c r="J112" s="36" t="s">
        <v>53</v>
      </c>
      <c r="K112" s="36" t="s">
        <v>53</v>
      </c>
      <c r="L112" s="36" t="s">
        <v>112</v>
      </c>
      <c r="M112" s="36">
        <v>21</v>
      </c>
      <c r="N112" s="33" t="s">
        <v>55</v>
      </c>
      <c r="O112" s="33" t="s">
        <v>33</v>
      </c>
      <c r="P112" s="38" t="s">
        <v>339</v>
      </c>
      <c r="Q112" s="38" t="s">
        <v>900</v>
      </c>
      <c r="R112" s="33" t="s">
        <v>37</v>
      </c>
      <c r="S112" s="33" t="s">
        <v>37</v>
      </c>
      <c r="T112" s="33">
        <v>250</v>
      </c>
      <c r="U112" s="33" t="s">
        <v>346</v>
      </c>
      <c r="V112" s="33">
        <v>19.899999999999999</v>
      </c>
      <c r="W112" s="33" t="s">
        <v>341</v>
      </c>
      <c r="X112" s="33">
        <v>8.24</v>
      </c>
      <c r="Y112" s="33">
        <v>6.391</v>
      </c>
      <c r="Z112" s="33" t="s">
        <v>37</v>
      </c>
      <c r="AA112" s="33">
        <v>690</v>
      </c>
      <c r="AB112" s="33">
        <v>690</v>
      </c>
      <c r="AC112" s="39">
        <f t="shared" si="77"/>
        <v>10.796432483179471</v>
      </c>
      <c r="AD112" s="40">
        <f t="shared" si="69"/>
        <v>37.952012591116251</v>
      </c>
      <c r="AE112" s="40">
        <f t="shared" si="64"/>
        <v>37.952012591116251</v>
      </c>
      <c r="AG112" s="16">
        <f t="shared" si="70"/>
        <v>0.28054336379517103</v>
      </c>
      <c r="AH112" s="26">
        <f t="shared" si="71"/>
        <v>3.5645113342624466</v>
      </c>
      <c r="AJ112" s="85" t="str">
        <f t="shared" si="72"/>
        <v>LC50</v>
      </c>
      <c r="AK112" s="9">
        <f t="shared" si="57"/>
        <v>5</v>
      </c>
      <c r="AL112" s="18">
        <f t="shared" si="73"/>
        <v>7.5904025182232502</v>
      </c>
      <c r="AM112" s="88" t="str">
        <f t="shared" si="74"/>
        <v>Chronic</v>
      </c>
      <c r="AN112" s="9">
        <f t="shared" si="58"/>
        <v>1</v>
      </c>
      <c r="AO112" s="18">
        <f t="shared" si="59"/>
        <v>7.5904025182232502</v>
      </c>
      <c r="AP112" s="16"/>
      <c r="AQ112" s="132" t="str">
        <f t="shared" si="75"/>
        <v>LC50</v>
      </c>
      <c r="AR112" s="67" t="s">
        <v>463</v>
      </c>
      <c r="AS112" s="88" t="str">
        <f t="shared" si="76"/>
        <v>Chronic</v>
      </c>
      <c r="AT112" s="67" t="str">
        <f t="shared" si="61"/>
        <v>y</v>
      </c>
      <c r="AU112" s="76" t="s">
        <v>505</v>
      </c>
      <c r="AV112" s="67"/>
      <c r="AW112" s="70"/>
      <c r="AX112" s="67"/>
      <c r="AY112" s="67"/>
      <c r="AZ112" s="80"/>
      <c r="BA112" s="81"/>
      <c r="BB112" s="78"/>
      <c r="BC112" s="133"/>
    </row>
    <row r="113" spans="1:56" ht="15" customHeight="1" x14ac:dyDescent="0.25">
      <c r="A113" s="32" t="s">
        <v>368</v>
      </c>
      <c r="B113" s="32" t="s">
        <v>337</v>
      </c>
      <c r="C113" s="34" t="s">
        <v>24</v>
      </c>
      <c r="D113" s="35" t="s">
        <v>323</v>
      </c>
      <c r="E113" s="33" t="s">
        <v>178</v>
      </c>
      <c r="F113" s="33" t="s">
        <v>179</v>
      </c>
      <c r="G113" s="33" t="s">
        <v>93</v>
      </c>
      <c r="H113" s="33" t="s">
        <v>572</v>
      </c>
      <c r="I113" s="36" t="s">
        <v>338</v>
      </c>
      <c r="J113" s="36" t="s">
        <v>53</v>
      </c>
      <c r="K113" s="36" t="s">
        <v>53</v>
      </c>
      <c r="L113" s="36" t="s">
        <v>112</v>
      </c>
      <c r="M113" s="36">
        <v>28</v>
      </c>
      <c r="N113" s="33" t="s">
        <v>55</v>
      </c>
      <c r="O113" s="33" t="s">
        <v>33</v>
      </c>
      <c r="P113" s="38" t="s">
        <v>339</v>
      </c>
      <c r="Q113" s="38" t="s">
        <v>900</v>
      </c>
      <c r="R113" s="33" t="s">
        <v>37</v>
      </c>
      <c r="S113" s="33" t="s">
        <v>37</v>
      </c>
      <c r="T113" s="33">
        <v>250</v>
      </c>
      <c r="U113" s="33" t="s">
        <v>346</v>
      </c>
      <c r="V113" s="33">
        <v>19.899999999999999</v>
      </c>
      <c r="W113" s="33" t="s">
        <v>341</v>
      </c>
      <c r="X113" s="33">
        <v>8.24</v>
      </c>
      <c r="Y113" s="33">
        <v>6.391</v>
      </c>
      <c r="Z113" s="33" t="s">
        <v>37</v>
      </c>
      <c r="AA113" s="33">
        <v>690</v>
      </c>
      <c r="AB113" s="33">
        <v>690</v>
      </c>
      <c r="AC113" s="39">
        <f t="shared" si="77"/>
        <v>10.796432483179471</v>
      </c>
      <c r="AD113" s="40">
        <f t="shared" si="69"/>
        <v>37.952012591116251</v>
      </c>
      <c r="AE113" s="40">
        <f t="shared" si="64"/>
        <v>37.952012591116251</v>
      </c>
      <c r="AG113" s="16">
        <f t="shared" si="70"/>
        <v>0.28054336379517103</v>
      </c>
      <c r="AH113" s="26">
        <f t="shared" si="71"/>
        <v>3.5645113342624466</v>
      </c>
      <c r="AJ113" s="85" t="str">
        <f t="shared" si="72"/>
        <v>LC50</v>
      </c>
      <c r="AK113" s="9">
        <f t="shared" si="57"/>
        <v>5</v>
      </c>
      <c r="AL113" s="18">
        <f t="shared" si="73"/>
        <v>7.5904025182232502</v>
      </c>
      <c r="AM113" s="88" t="str">
        <f t="shared" si="74"/>
        <v>Chronic</v>
      </c>
      <c r="AN113" s="9">
        <f t="shared" si="58"/>
        <v>1</v>
      </c>
      <c r="AO113" s="18">
        <f t="shared" si="59"/>
        <v>7.5904025182232502</v>
      </c>
      <c r="AP113" s="16"/>
      <c r="AQ113" s="132" t="str">
        <f t="shared" si="75"/>
        <v>LC50</v>
      </c>
      <c r="AR113" s="67" t="s">
        <v>463</v>
      </c>
      <c r="AS113" s="88" t="str">
        <f t="shared" si="76"/>
        <v>Chronic</v>
      </c>
      <c r="AT113" s="67" t="str">
        <f t="shared" si="61"/>
        <v>y</v>
      </c>
      <c r="AU113" s="76" t="s">
        <v>505</v>
      </c>
      <c r="AV113" s="67"/>
      <c r="AW113" s="70"/>
      <c r="AX113" s="67"/>
      <c r="AY113" s="67"/>
      <c r="AZ113" s="80"/>
      <c r="BA113" s="81"/>
      <c r="BB113" s="78"/>
      <c r="BC113" s="133"/>
    </row>
    <row r="114" spans="1:56" ht="15" customHeight="1" x14ac:dyDescent="0.25">
      <c r="A114" s="32" t="s">
        <v>369</v>
      </c>
      <c r="B114" s="32" t="s">
        <v>337</v>
      </c>
      <c r="C114" s="34" t="s">
        <v>24</v>
      </c>
      <c r="D114" s="35" t="s">
        <v>323</v>
      </c>
      <c r="E114" s="33" t="s">
        <v>178</v>
      </c>
      <c r="F114" s="33" t="s">
        <v>179</v>
      </c>
      <c r="G114" s="33" t="s">
        <v>93</v>
      </c>
      <c r="H114" s="33" t="s">
        <v>572</v>
      </c>
      <c r="I114" s="36" t="s">
        <v>338</v>
      </c>
      <c r="J114" s="36" t="s">
        <v>53</v>
      </c>
      <c r="K114" s="36" t="s">
        <v>53</v>
      </c>
      <c r="L114" s="36" t="s">
        <v>370</v>
      </c>
      <c r="M114" s="36">
        <v>28</v>
      </c>
      <c r="N114" s="33" t="s">
        <v>55</v>
      </c>
      <c r="O114" s="33" t="s">
        <v>33</v>
      </c>
      <c r="P114" s="38" t="s">
        <v>339</v>
      </c>
      <c r="Q114" s="38" t="s">
        <v>900</v>
      </c>
      <c r="R114" s="33" t="s">
        <v>37</v>
      </c>
      <c r="S114" s="33" t="s">
        <v>37</v>
      </c>
      <c r="T114" s="33">
        <v>250</v>
      </c>
      <c r="U114" s="33" t="s">
        <v>346</v>
      </c>
      <c r="V114" s="33">
        <v>19.899999999999999</v>
      </c>
      <c r="W114" s="33" t="s">
        <v>341</v>
      </c>
      <c r="X114" s="33">
        <v>8.24</v>
      </c>
      <c r="Y114" s="33">
        <v>6.391</v>
      </c>
      <c r="Z114" s="33" t="s">
        <v>37</v>
      </c>
      <c r="AA114" s="33">
        <v>130</v>
      </c>
      <c r="AB114" s="33">
        <v>130</v>
      </c>
      <c r="AC114" s="40">
        <f t="shared" si="77"/>
        <v>2.0341104678454078</v>
      </c>
      <c r="AD114" s="40">
        <f t="shared" si="69"/>
        <v>7.1503791838334969</v>
      </c>
      <c r="AE114" s="40">
        <f t="shared" si="64"/>
        <v>7.1503791838334969</v>
      </c>
      <c r="AG114" s="16">
        <f t="shared" si="70"/>
        <v>0.28054336379517103</v>
      </c>
      <c r="AH114" s="26">
        <f t="shared" si="71"/>
        <v>3.5645113342624466</v>
      </c>
      <c r="AJ114" s="85" t="str">
        <f t="shared" si="72"/>
        <v>LC1</v>
      </c>
      <c r="AK114" s="9">
        <f t="shared" si="57"/>
        <v>1</v>
      </c>
      <c r="AL114" s="18">
        <f t="shared" si="73"/>
        <v>7.1503791838334969</v>
      </c>
      <c r="AM114" s="88" t="str">
        <f t="shared" si="74"/>
        <v>Chronic</v>
      </c>
      <c r="AN114" s="9">
        <f t="shared" si="58"/>
        <v>1</v>
      </c>
      <c r="AO114" s="18">
        <f t="shared" si="59"/>
        <v>7.1503791838334969</v>
      </c>
      <c r="AP114" s="16"/>
      <c r="AQ114" s="110" t="str">
        <f t="shared" si="75"/>
        <v>LC1</v>
      </c>
      <c r="AR114" s="111" t="s">
        <v>356</v>
      </c>
      <c r="AS114" s="112" t="str">
        <f t="shared" si="76"/>
        <v>Chronic</v>
      </c>
      <c r="AT114" s="111" t="str">
        <f t="shared" si="61"/>
        <v>y</v>
      </c>
      <c r="AU114" s="134" t="str">
        <f>K114</f>
        <v>Mortality</v>
      </c>
      <c r="AV114" s="111" t="s">
        <v>459</v>
      </c>
      <c r="AW114" s="114">
        <f>M114</f>
        <v>28</v>
      </c>
      <c r="AX114" s="111" t="s">
        <v>460</v>
      </c>
      <c r="AY114" s="111"/>
      <c r="AZ114" s="138">
        <f>AO114</f>
        <v>7.1503791838334969</v>
      </c>
      <c r="BA114" s="140">
        <f>GEOMEAN(AZ114)</f>
        <v>7.1503791838334969</v>
      </c>
      <c r="BB114" s="141">
        <f>MIN(BA114)</f>
        <v>7.1503791838334969</v>
      </c>
      <c r="BC114" s="142">
        <f>MIN(BB114)</f>
        <v>7.1503791838334969</v>
      </c>
    </row>
    <row r="115" spans="1:56" ht="15" customHeight="1" x14ac:dyDescent="0.25">
      <c r="A115" s="19" t="s">
        <v>371</v>
      </c>
      <c r="B115" s="23">
        <v>223</v>
      </c>
      <c r="C115" s="10" t="s">
        <v>24</v>
      </c>
      <c r="D115" s="11" t="s">
        <v>372</v>
      </c>
      <c r="E115" s="9" t="s">
        <v>178</v>
      </c>
      <c r="F115" s="9" t="s">
        <v>179</v>
      </c>
      <c r="G115" s="9" t="s">
        <v>72</v>
      </c>
      <c r="H115" s="9" t="s">
        <v>572</v>
      </c>
      <c r="I115" s="12" t="s">
        <v>373</v>
      </c>
      <c r="J115" s="12" t="s">
        <v>53</v>
      </c>
      <c r="K115" s="12" t="s">
        <v>53</v>
      </c>
      <c r="L115" s="12" t="s">
        <v>54</v>
      </c>
      <c r="M115" s="12">
        <v>21</v>
      </c>
      <c r="N115" s="9" t="s">
        <v>55</v>
      </c>
      <c r="O115" s="9" t="s">
        <v>33</v>
      </c>
      <c r="P115" s="25" t="s">
        <v>339</v>
      </c>
      <c r="Q115" s="14" t="s">
        <v>900</v>
      </c>
      <c r="R115" s="9" t="s">
        <v>37</v>
      </c>
      <c r="S115" s="9" t="s">
        <v>37</v>
      </c>
      <c r="T115" s="9">
        <v>250</v>
      </c>
      <c r="U115" s="9" t="s">
        <v>346</v>
      </c>
      <c r="V115" s="9">
        <v>19.899999999999999</v>
      </c>
      <c r="W115" s="9" t="s">
        <v>341</v>
      </c>
      <c r="X115" s="9">
        <v>8.24</v>
      </c>
      <c r="Y115" s="9">
        <v>6.391</v>
      </c>
      <c r="Z115" s="9" t="s">
        <v>37</v>
      </c>
      <c r="AA115" s="9">
        <v>540</v>
      </c>
      <c r="AB115" s="9">
        <v>540</v>
      </c>
      <c r="AC115" s="27">
        <f t="shared" si="77"/>
        <v>8.4493819433578476</v>
      </c>
      <c r="AD115" s="15">
        <f t="shared" si="69"/>
        <v>29.701575071308373</v>
      </c>
      <c r="AE115" s="15">
        <f t="shared" ref="AE115:AE127" si="78">AD115</f>
        <v>29.701575071308373</v>
      </c>
      <c r="AG115" s="16">
        <f t="shared" si="70"/>
        <v>0.28054336379517103</v>
      </c>
      <c r="AH115" s="26">
        <f t="shared" si="71"/>
        <v>3.5645113342624466</v>
      </c>
      <c r="AJ115" s="85" t="str">
        <f t="shared" si="72"/>
        <v>NOEC</v>
      </c>
      <c r="AK115" s="9">
        <f t="shared" si="57"/>
        <v>1</v>
      </c>
      <c r="AL115" s="18">
        <f t="shared" si="73"/>
        <v>29.701575071308373</v>
      </c>
      <c r="AM115" s="88" t="str">
        <f t="shared" si="74"/>
        <v>Chronic</v>
      </c>
      <c r="AN115" s="9">
        <f t="shared" si="58"/>
        <v>1</v>
      </c>
      <c r="AO115" s="18">
        <f t="shared" si="59"/>
        <v>29.701575071308373</v>
      </c>
      <c r="AP115" s="16"/>
      <c r="AQ115" s="101" t="str">
        <f t="shared" si="75"/>
        <v>NOEC</v>
      </c>
      <c r="AR115" s="102" t="s">
        <v>356</v>
      </c>
      <c r="AS115" s="103" t="str">
        <f t="shared" si="76"/>
        <v>Chronic</v>
      </c>
      <c r="AT115" s="102" t="str">
        <f t="shared" si="61"/>
        <v>y</v>
      </c>
      <c r="AU115" s="139" t="s">
        <v>506</v>
      </c>
      <c r="AV115" s="102"/>
      <c r="AW115" s="105"/>
      <c r="AX115" s="102"/>
      <c r="AY115" s="102"/>
      <c r="AZ115" s="106"/>
      <c r="BA115" s="107"/>
      <c r="BB115" s="108"/>
      <c r="BC115" s="109"/>
    </row>
    <row r="116" spans="1:56" ht="15" customHeight="1" x14ac:dyDescent="0.25">
      <c r="A116" s="19" t="s">
        <v>374</v>
      </c>
      <c r="B116" s="23">
        <v>223</v>
      </c>
      <c r="C116" s="10" t="s">
        <v>24</v>
      </c>
      <c r="D116" s="11" t="s">
        <v>372</v>
      </c>
      <c r="E116" s="9" t="s">
        <v>178</v>
      </c>
      <c r="F116" s="9" t="s">
        <v>179</v>
      </c>
      <c r="G116" s="9" t="s">
        <v>72</v>
      </c>
      <c r="H116" s="9" t="s">
        <v>572</v>
      </c>
      <c r="I116" s="12" t="s">
        <v>373</v>
      </c>
      <c r="J116" s="12" t="s">
        <v>53</v>
      </c>
      <c r="K116" s="12" t="s">
        <v>53</v>
      </c>
      <c r="L116" s="12" t="s">
        <v>54</v>
      </c>
      <c r="M116" s="12">
        <v>28</v>
      </c>
      <c r="N116" s="9" t="s">
        <v>55</v>
      </c>
      <c r="O116" s="9" t="s">
        <v>33</v>
      </c>
      <c r="P116" s="25" t="s">
        <v>339</v>
      </c>
      <c r="Q116" s="14" t="s">
        <v>900</v>
      </c>
      <c r="R116" s="9" t="s">
        <v>37</v>
      </c>
      <c r="S116" s="9" t="s">
        <v>37</v>
      </c>
      <c r="T116" s="9">
        <v>250</v>
      </c>
      <c r="U116" s="9" t="s">
        <v>346</v>
      </c>
      <c r="V116" s="9">
        <v>19.899999999999999</v>
      </c>
      <c r="W116" s="9" t="s">
        <v>341</v>
      </c>
      <c r="X116" s="9">
        <v>8.24</v>
      </c>
      <c r="Y116" s="9">
        <v>6.391</v>
      </c>
      <c r="Z116" s="9" t="s">
        <v>37</v>
      </c>
      <c r="AA116" s="9">
        <v>540</v>
      </c>
      <c r="AB116" s="9">
        <v>540</v>
      </c>
      <c r="AC116" s="27">
        <f t="shared" si="77"/>
        <v>8.4493819433578476</v>
      </c>
      <c r="AD116" s="15">
        <f t="shared" si="69"/>
        <v>29.701575071308373</v>
      </c>
      <c r="AE116" s="15">
        <f t="shared" si="78"/>
        <v>29.701575071308373</v>
      </c>
      <c r="AG116" s="16">
        <f t="shared" si="70"/>
        <v>0.28054336379517103</v>
      </c>
      <c r="AH116" s="26">
        <f t="shared" si="71"/>
        <v>3.5645113342624466</v>
      </c>
      <c r="AJ116" s="85" t="str">
        <f t="shared" si="72"/>
        <v>NOEC</v>
      </c>
      <c r="AK116" s="9">
        <f t="shared" si="57"/>
        <v>1</v>
      </c>
      <c r="AL116" s="18">
        <f t="shared" si="73"/>
        <v>29.701575071308373</v>
      </c>
      <c r="AM116" s="88" t="str">
        <f t="shared" si="74"/>
        <v>Chronic</v>
      </c>
      <c r="AN116" s="9">
        <f t="shared" si="58"/>
        <v>1</v>
      </c>
      <c r="AO116" s="18">
        <f t="shared" si="59"/>
        <v>29.701575071308373</v>
      </c>
      <c r="AP116" s="16"/>
      <c r="AQ116" s="132" t="str">
        <f t="shared" si="75"/>
        <v>NOEC</v>
      </c>
      <c r="AR116" s="67" t="s">
        <v>356</v>
      </c>
      <c r="AS116" s="88" t="str">
        <f t="shared" si="76"/>
        <v>Chronic</v>
      </c>
      <c r="AT116" s="67" t="str">
        <f t="shared" si="61"/>
        <v>y</v>
      </c>
      <c r="AU116" s="76" t="s">
        <v>506</v>
      </c>
      <c r="AV116" s="67"/>
      <c r="AW116" s="70"/>
      <c r="AX116" s="67"/>
      <c r="AY116" s="67"/>
      <c r="AZ116" s="80"/>
      <c r="BA116" s="81"/>
      <c r="BB116" s="78"/>
      <c r="BC116" s="133"/>
    </row>
    <row r="117" spans="1:56" ht="15" customHeight="1" x14ac:dyDescent="0.25">
      <c r="A117" s="19" t="s">
        <v>375</v>
      </c>
      <c r="B117" s="23">
        <v>223</v>
      </c>
      <c r="C117" s="10" t="s">
        <v>24</v>
      </c>
      <c r="D117" s="11" t="s">
        <v>372</v>
      </c>
      <c r="E117" s="9" t="s">
        <v>178</v>
      </c>
      <c r="F117" s="9" t="s">
        <v>179</v>
      </c>
      <c r="G117" s="9" t="s">
        <v>72</v>
      </c>
      <c r="H117" s="9" t="s">
        <v>572</v>
      </c>
      <c r="I117" s="12" t="s">
        <v>373</v>
      </c>
      <c r="J117" s="9" t="s">
        <v>53</v>
      </c>
      <c r="K117" s="9" t="s">
        <v>53</v>
      </c>
      <c r="L117" s="12" t="s">
        <v>206</v>
      </c>
      <c r="M117" s="12">
        <v>28</v>
      </c>
      <c r="N117" s="9" t="s">
        <v>55</v>
      </c>
      <c r="O117" s="9" t="s">
        <v>33</v>
      </c>
      <c r="P117" s="25" t="s">
        <v>339</v>
      </c>
      <c r="Q117" s="14" t="s">
        <v>900</v>
      </c>
      <c r="R117" s="9" t="s">
        <v>37</v>
      </c>
      <c r="S117" s="9" t="s">
        <v>37</v>
      </c>
      <c r="T117" s="9">
        <v>250</v>
      </c>
      <c r="U117" s="9" t="s">
        <v>346</v>
      </c>
      <c r="V117" s="9">
        <v>19.899999999999999</v>
      </c>
      <c r="W117" s="9" t="s">
        <v>341</v>
      </c>
      <c r="X117" s="9">
        <v>8.24</v>
      </c>
      <c r="Y117" s="9">
        <v>6.391</v>
      </c>
      <c r="Z117" s="9" t="s">
        <v>37</v>
      </c>
      <c r="AA117" s="9">
        <v>610</v>
      </c>
      <c r="AB117" s="9">
        <v>610</v>
      </c>
      <c r="AC117" s="27">
        <f t="shared" si="77"/>
        <v>9.5446721952746056</v>
      </c>
      <c r="AD117" s="15">
        <f t="shared" si="69"/>
        <v>33.551779247218718</v>
      </c>
      <c r="AE117" s="15">
        <f t="shared" si="78"/>
        <v>33.551779247218718</v>
      </c>
      <c r="AG117" s="16">
        <f t="shared" si="70"/>
        <v>0.28054336379517103</v>
      </c>
      <c r="AH117" s="26">
        <f t="shared" si="71"/>
        <v>3.5645113342624466</v>
      </c>
      <c r="AJ117" s="85" t="str">
        <f t="shared" si="72"/>
        <v>LC20</v>
      </c>
      <c r="AK117" s="9">
        <f t="shared" si="57"/>
        <v>1</v>
      </c>
      <c r="AL117" s="18">
        <f t="shared" si="73"/>
        <v>33.551779247218718</v>
      </c>
      <c r="AM117" s="88" t="str">
        <f t="shared" si="74"/>
        <v>Chronic</v>
      </c>
      <c r="AN117" s="9">
        <f t="shared" si="58"/>
        <v>1</v>
      </c>
      <c r="AO117" s="18">
        <f t="shared" si="59"/>
        <v>33.551779247218718</v>
      </c>
      <c r="AP117" s="16"/>
      <c r="AQ117" s="132" t="str">
        <f t="shared" si="75"/>
        <v>LC20</v>
      </c>
      <c r="AR117" s="67" t="s">
        <v>356</v>
      </c>
      <c r="AS117" s="88" t="str">
        <f t="shared" si="76"/>
        <v>Chronic</v>
      </c>
      <c r="AT117" s="67" t="str">
        <f t="shared" si="61"/>
        <v>y</v>
      </c>
      <c r="AU117" s="76" t="s">
        <v>505</v>
      </c>
      <c r="AV117" s="67"/>
      <c r="AW117" s="70"/>
      <c r="AX117" s="67"/>
      <c r="AY117" s="67"/>
      <c r="AZ117" s="80"/>
      <c r="BA117" s="81"/>
      <c r="BB117" s="78"/>
      <c r="BC117" s="133"/>
      <c r="BD117" t="s">
        <v>521</v>
      </c>
    </row>
    <row r="118" spans="1:56" ht="15" customHeight="1" x14ac:dyDescent="0.25">
      <c r="A118" s="19" t="s">
        <v>376</v>
      </c>
      <c r="B118" s="23">
        <v>223</v>
      </c>
      <c r="C118" s="10" t="s">
        <v>24</v>
      </c>
      <c r="D118" s="11" t="s">
        <v>372</v>
      </c>
      <c r="E118" s="9" t="s">
        <v>178</v>
      </c>
      <c r="F118" s="9" t="s">
        <v>179</v>
      </c>
      <c r="G118" s="9" t="s">
        <v>72</v>
      </c>
      <c r="H118" s="9" t="s">
        <v>572</v>
      </c>
      <c r="I118" s="12" t="s">
        <v>373</v>
      </c>
      <c r="J118" s="12" t="s">
        <v>180</v>
      </c>
      <c r="K118" s="12" t="s">
        <v>364</v>
      </c>
      <c r="L118" s="12" t="s">
        <v>112</v>
      </c>
      <c r="M118" s="12">
        <v>28</v>
      </c>
      <c r="N118" s="9" t="s">
        <v>55</v>
      </c>
      <c r="O118" s="9" t="s">
        <v>33</v>
      </c>
      <c r="P118" s="25" t="s">
        <v>339</v>
      </c>
      <c r="Q118" s="14" t="s">
        <v>900</v>
      </c>
      <c r="R118" s="9" t="s">
        <v>37</v>
      </c>
      <c r="S118" s="9" t="s">
        <v>37</v>
      </c>
      <c r="T118" s="9">
        <v>250</v>
      </c>
      <c r="U118" s="9" t="s">
        <v>346</v>
      </c>
      <c r="V118" s="9">
        <v>19.899999999999999</v>
      </c>
      <c r="W118" s="9" t="s">
        <v>341</v>
      </c>
      <c r="X118" s="9">
        <v>8.24</v>
      </c>
      <c r="Y118" s="9">
        <v>6.391</v>
      </c>
      <c r="Z118" s="9" t="s">
        <v>37</v>
      </c>
      <c r="AA118" s="9">
        <v>290</v>
      </c>
      <c r="AB118" s="9">
        <v>290</v>
      </c>
      <c r="AC118" s="27">
        <f t="shared" si="77"/>
        <v>4.5376310436551401</v>
      </c>
      <c r="AD118" s="15">
        <f t="shared" si="69"/>
        <v>15.950845871628569</v>
      </c>
      <c r="AE118" s="15">
        <f t="shared" si="78"/>
        <v>15.950845871628569</v>
      </c>
      <c r="AG118" s="16">
        <f t="shared" si="70"/>
        <v>0.28054336379517103</v>
      </c>
      <c r="AH118" s="26">
        <f t="shared" si="71"/>
        <v>3.5645113342624466</v>
      </c>
      <c r="AJ118" s="85" t="str">
        <f t="shared" si="72"/>
        <v>LC50</v>
      </c>
      <c r="AK118" s="9">
        <f t="shared" si="57"/>
        <v>5</v>
      </c>
      <c r="AL118" s="18">
        <f t="shared" si="73"/>
        <v>3.1901691743257139</v>
      </c>
      <c r="AM118" s="88" t="str">
        <f t="shared" si="74"/>
        <v>Chronic</v>
      </c>
      <c r="AN118" s="9">
        <f t="shared" si="58"/>
        <v>1</v>
      </c>
      <c r="AO118" s="18">
        <f t="shared" si="59"/>
        <v>3.1901691743257139</v>
      </c>
      <c r="AP118" s="16"/>
      <c r="AQ118" s="132" t="str">
        <f t="shared" si="75"/>
        <v>LC50</v>
      </c>
      <c r="AR118" s="67" t="s">
        <v>463</v>
      </c>
      <c r="AS118" s="88" t="str">
        <f t="shared" si="76"/>
        <v>Chronic</v>
      </c>
      <c r="AT118" s="67" t="str">
        <f t="shared" si="61"/>
        <v>y</v>
      </c>
      <c r="AU118" s="76" t="s">
        <v>505</v>
      </c>
      <c r="AV118" s="67"/>
      <c r="AW118" s="70"/>
      <c r="AX118" s="67"/>
      <c r="AY118" s="67"/>
      <c r="AZ118" s="80"/>
      <c r="BA118" s="81"/>
      <c r="BB118" s="78"/>
      <c r="BC118" s="133"/>
      <c r="BD118" t="s">
        <v>522</v>
      </c>
    </row>
    <row r="119" spans="1:56" ht="15" customHeight="1" x14ac:dyDescent="0.25">
      <c r="A119" s="19" t="s">
        <v>377</v>
      </c>
      <c r="B119" s="23">
        <v>223</v>
      </c>
      <c r="C119" s="10" t="s">
        <v>24</v>
      </c>
      <c r="D119" s="11" t="s">
        <v>372</v>
      </c>
      <c r="E119" s="9" t="s">
        <v>178</v>
      </c>
      <c r="F119" s="9" t="s">
        <v>179</v>
      </c>
      <c r="G119" s="9" t="s">
        <v>72</v>
      </c>
      <c r="H119" s="9" t="s">
        <v>572</v>
      </c>
      <c r="I119" s="12" t="s">
        <v>373</v>
      </c>
      <c r="J119" s="9" t="s">
        <v>53</v>
      </c>
      <c r="K119" s="9" t="s">
        <v>53</v>
      </c>
      <c r="L119" s="12" t="s">
        <v>112</v>
      </c>
      <c r="M119" s="12">
        <v>21</v>
      </c>
      <c r="N119" s="9" t="s">
        <v>55</v>
      </c>
      <c r="O119" s="9" t="s">
        <v>33</v>
      </c>
      <c r="P119" s="25" t="s">
        <v>339</v>
      </c>
      <c r="Q119" s="14" t="s">
        <v>900</v>
      </c>
      <c r="R119" s="9" t="s">
        <v>37</v>
      </c>
      <c r="S119" s="9" t="s">
        <v>37</v>
      </c>
      <c r="T119" s="9">
        <v>250</v>
      </c>
      <c r="U119" s="9" t="s">
        <v>346</v>
      </c>
      <c r="V119" s="9">
        <v>19.899999999999999</v>
      </c>
      <c r="W119" s="9" t="s">
        <v>341</v>
      </c>
      <c r="X119" s="9">
        <v>8.24</v>
      </c>
      <c r="Y119" s="9">
        <v>6.391</v>
      </c>
      <c r="Z119" s="9" t="s">
        <v>37</v>
      </c>
      <c r="AA119" s="9">
        <v>750</v>
      </c>
      <c r="AB119" s="9">
        <v>750</v>
      </c>
      <c r="AC119" s="27">
        <f t="shared" si="77"/>
        <v>11.735252699108122</v>
      </c>
      <c r="AD119" s="15">
        <f t="shared" si="69"/>
        <v>41.252187599039402</v>
      </c>
      <c r="AE119" s="15">
        <f t="shared" si="78"/>
        <v>41.252187599039402</v>
      </c>
      <c r="AG119" s="16">
        <f t="shared" si="70"/>
        <v>0.28054336379517103</v>
      </c>
      <c r="AH119" s="26">
        <f t="shared" si="71"/>
        <v>3.5645113342624466</v>
      </c>
      <c r="AJ119" s="85" t="str">
        <f t="shared" si="72"/>
        <v>LC50</v>
      </c>
      <c r="AK119" s="9">
        <f t="shared" si="57"/>
        <v>5</v>
      </c>
      <c r="AL119" s="18">
        <f t="shared" si="73"/>
        <v>8.2504375198078801</v>
      </c>
      <c r="AM119" s="88" t="str">
        <f t="shared" si="74"/>
        <v>Chronic</v>
      </c>
      <c r="AN119" s="9">
        <f t="shared" si="58"/>
        <v>1</v>
      </c>
      <c r="AO119" s="18">
        <f t="shared" si="59"/>
        <v>8.2504375198078801</v>
      </c>
      <c r="AP119" s="16"/>
      <c r="AQ119" s="132" t="str">
        <f t="shared" si="75"/>
        <v>LC50</v>
      </c>
      <c r="AR119" s="67" t="s">
        <v>463</v>
      </c>
      <c r="AS119" s="88" t="str">
        <f t="shared" si="76"/>
        <v>Chronic</v>
      </c>
      <c r="AT119" s="67" t="str">
        <f t="shared" si="61"/>
        <v>y</v>
      </c>
      <c r="AU119" s="76" t="s">
        <v>505</v>
      </c>
      <c r="AV119" s="67"/>
      <c r="AW119" s="70"/>
      <c r="AX119" s="67"/>
      <c r="AY119" s="67"/>
      <c r="AZ119" s="80"/>
      <c r="BA119" s="81"/>
      <c r="BB119" s="78"/>
      <c r="BC119" s="133"/>
      <c r="BD119" t="s">
        <v>523</v>
      </c>
    </row>
    <row r="120" spans="1:56" ht="15" customHeight="1" x14ac:dyDescent="0.25">
      <c r="A120" s="19" t="s">
        <v>378</v>
      </c>
      <c r="B120" s="23">
        <v>223</v>
      </c>
      <c r="C120" s="10" t="s">
        <v>24</v>
      </c>
      <c r="D120" s="11" t="s">
        <v>372</v>
      </c>
      <c r="E120" s="9" t="s">
        <v>178</v>
      </c>
      <c r="F120" s="9" t="s">
        <v>179</v>
      </c>
      <c r="G120" s="9" t="s">
        <v>72</v>
      </c>
      <c r="H120" s="9" t="s">
        <v>572</v>
      </c>
      <c r="I120" s="12" t="s">
        <v>373</v>
      </c>
      <c r="J120" s="9" t="s">
        <v>53</v>
      </c>
      <c r="K120" s="9" t="s">
        <v>53</v>
      </c>
      <c r="L120" s="12" t="s">
        <v>112</v>
      </c>
      <c r="M120" s="12">
        <v>28</v>
      </c>
      <c r="N120" s="9" t="s">
        <v>55</v>
      </c>
      <c r="O120" s="9" t="s">
        <v>33</v>
      </c>
      <c r="P120" s="25" t="s">
        <v>339</v>
      </c>
      <c r="Q120" s="14" t="s">
        <v>900</v>
      </c>
      <c r="R120" s="9" t="s">
        <v>37</v>
      </c>
      <c r="S120" s="9" t="s">
        <v>37</v>
      </c>
      <c r="T120" s="9">
        <v>250</v>
      </c>
      <c r="U120" s="9" t="s">
        <v>346</v>
      </c>
      <c r="V120" s="9">
        <v>19.899999999999999</v>
      </c>
      <c r="W120" s="9" t="s">
        <v>341</v>
      </c>
      <c r="X120" s="9">
        <v>8.24</v>
      </c>
      <c r="Y120" s="9">
        <v>6.391</v>
      </c>
      <c r="Z120" s="9" t="s">
        <v>37</v>
      </c>
      <c r="AA120" s="9">
        <v>760</v>
      </c>
      <c r="AB120" s="9">
        <v>760</v>
      </c>
      <c r="AC120" s="27">
        <f t="shared" si="77"/>
        <v>11.891722735096229</v>
      </c>
      <c r="AD120" s="15">
        <f t="shared" si="69"/>
        <v>41.802216767026593</v>
      </c>
      <c r="AE120" s="15">
        <f t="shared" si="78"/>
        <v>41.802216767026593</v>
      </c>
      <c r="AG120" s="16">
        <f t="shared" si="70"/>
        <v>0.28054336379517103</v>
      </c>
      <c r="AH120" s="26">
        <f t="shared" si="71"/>
        <v>3.5645113342624466</v>
      </c>
      <c r="AJ120" s="85" t="str">
        <f t="shared" si="72"/>
        <v>LC50</v>
      </c>
      <c r="AK120" s="9">
        <f t="shared" si="57"/>
        <v>5</v>
      </c>
      <c r="AL120" s="18">
        <f t="shared" si="73"/>
        <v>8.3604433534053193</v>
      </c>
      <c r="AM120" s="88" t="str">
        <f t="shared" si="74"/>
        <v>Chronic</v>
      </c>
      <c r="AN120" s="9">
        <f t="shared" si="58"/>
        <v>1</v>
      </c>
      <c r="AO120" s="18">
        <f t="shared" si="59"/>
        <v>8.3604433534053193</v>
      </c>
      <c r="AP120" s="16"/>
      <c r="AQ120" s="132" t="str">
        <f t="shared" si="75"/>
        <v>LC50</v>
      </c>
      <c r="AR120" s="67" t="s">
        <v>463</v>
      </c>
      <c r="AS120" s="88" t="str">
        <f t="shared" si="76"/>
        <v>Chronic</v>
      </c>
      <c r="AT120" s="67" t="str">
        <f t="shared" si="61"/>
        <v>y</v>
      </c>
      <c r="AU120" s="76" t="s">
        <v>505</v>
      </c>
      <c r="AV120" s="67"/>
      <c r="AW120" s="70"/>
      <c r="AX120" s="67"/>
      <c r="AY120" s="67"/>
      <c r="AZ120" s="80"/>
      <c r="BA120" s="81"/>
      <c r="BB120" s="78"/>
      <c r="BC120" s="133"/>
      <c r="BD120" t="s">
        <v>524</v>
      </c>
    </row>
    <row r="121" spans="1:56" ht="15" customHeight="1" x14ac:dyDescent="0.25">
      <c r="A121" s="19" t="s">
        <v>379</v>
      </c>
      <c r="B121" s="23">
        <v>223</v>
      </c>
      <c r="C121" s="10" t="s">
        <v>24</v>
      </c>
      <c r="D121" s="11" t="s">
        <v>372</v>
      </c>
      <c r="E121" s="9" t="s">
        <v>178</v>
      </c>
      <c r="F121" s="9" t="s">
        <v>179</v>
      </c>
      <c r="G121" s="9" t="s">
        <v>72</v>
      </c>
      <c r="H121" s="9" t="s">
        <v>572</v>
      </c>
      <c r="I121" s="12" t="s">
        <v>373</v>
      </c>
      <c r="J121" s="9" t="s">
        <v>53</v>
      </c>
      <c r="K121" s="9" t="s">
        <v>53</v>
      </c>
      <c r="L121" s="12" t="s">
        <v>370</v>
      </c>
      <c r="M121" s="12">
        <v>28</v>
      </c>
      <c r="N121" s="9" t="s">
        <v>55</v>
      </c>
      <c r="O121" s="9" t="s">
        <v>33</v>
      </c>
      <c r="P121" s="25" t="s">
        <v>339</v>
      </c>
      <c r="Q121" s="14" t="s">
        <v>900</v>
      </c>
      <c r="R121" s="9" t="s">
        <v>37</v>
      </c>
      <c r="S121" s="9" t="s">
        <v>37</v>
      </c>
      <c r="T121" s="9">
        <v>250</v>
      </c>
      <c r="U121" s="9" t="s">
        <v>346</v>
      </c>
      <c r="V121" s="9">
        <v>19.899999999999999</v>
      </c>
      <c r="W121" s="9" t="s">
        <v>341</v>
      </c>
      <c r="X121" s="9">
        <v>8.24</v>
      </c>
      <c r="Y121" s="9">
        <v>6.391</v>
      </c>
      <c r="Z121" s="9" t="s">
        <v>37</v>
      </c>
      <c r="AA121" s="9">
        <v>380</v>
      </c>
      <c r="AB121" s="9">
        <v>380</v>
      </c>
      <c r="AC121" s="15">
        <f t="shared" si="77"/>
        <v>5.9458613675481145</v>
      </c>
      <c r="AD121" s="15">
        <f t="shared" si="69"/>
        <v>20.901108383513296</v>
      </c>
      <c r="AE121" s="15">
        <f t="shared" si="78"/>
        <v>20.901108383513296</v>
      </c>
      <c r="AG121" s="16">
        <f t="shared" si="70"/>
        <v>0.28054336379517103</v>
      </c>
      <c r="AH121" s="26">
        <f t="shared" si="71"/>
        <v>3.5645113342624466</v>
      </c>
      <c r="AJ121" s="85" t="str">
        <f t="shared" si="72"/>
        <v>LC1</v>
      </c>
      <c r="AK121" s="9">
        <f t="shared" si="57"/>
        <v>1</v>
      </c>
      <c r="AL121" s="18">
        <f t="shared" si="73"/>
        <v>20.901108383513296</v>
      </c>
      <c r="AM121" s="88" t="str">
        <f t="shared" si="74"/>
        <v>Chronic</v>
      </c>
      <c r="AN121" s="9">
        <f t="shared" si="58"/>
        <v>1</v>
      </c>
      <c r="AO121" s="18">
        <f t="shared" si="59"/>
        <v>20.901108383513296</v>
      </c>
      <c r="AP121" s="16"/>
      <c r="AQ121" s="110" t="str">
        <f t="shared" si="75"/>
        <v>LC1</v>
      </c>
      <c r="AR121" s="111" t="s">
        <v>356</v>
      </c>
      <c r="AS121" s="112" t="str">
        <f t="shared" si="76"/>
        <v>Chronic</v>
      </c>
      <c r="AT121" s="111" t="str">
        <f t="shared" si="61"/>
        <v>y</v>
      </c>
      <c r="AU121" s="134" t="str">
        <f>K121</f>
        <v>Mortality</v>
      </c>
      <c r="AV121" s="111" t="s">
        <v>459</v>
      </c>
      <c r="AW121" s="114">
        <f>M121</f>
        <v>28</v>
      </c>
      <c r="AX121" s="111" t="s">
        <v>460</v>
      </c>
      <c r="AY121" s="111"/>
      <c r="AZ121" s="138">
        <f>AO121</f>
        <v>20.901108383513296</v>
      </c>
      <c r="BA121" s="140">
        <f>GEOMEAN(AZ121)</f>
        <v>20.901108383513296</v>
      </c>
      <c r="BB121" s="141">
        <f>MIN(BA121)</f>
        <v>20.901108383513296</v>
      </c>
      <c r="BC121" s="137">
        <f>MIN(BB121)</f>
        <v>20.901108383513296</v>
      </c>
    </row>
    <row r="122" spans="1:56" ht="15" customHeight="1" x14ac:dyDescent="0.25">
      <c r="A122" s="32" t="s">
        <v>380</v>
      </c>
      <c r="B122" s="44">
        <v>223</v>
      </c>
      <c r="C122" s="34" t="s">
        <v>24</v>
      </c>
      <c r="D122" s="35" t="s">
        <v>381</v>
      </c>
      <c r="E122" s="33" t="s">
        <v>178</v>
      </c>
      <c r="F122" s="33" t="s">
        <v>179</v>
      </c>
      <c r="G122" s="33" t="s">
        <v>72</v>
      </c>
      <c r="H122" s="33" t="s">
        <v>572</v>
      </c>
      <c r="I122" s="36" t="s">
        <v>382</v>
      </c>
      <c r="J122" s="36" t="s">
        <v>53</v>
      </c>
      <c r="K122" s="36" t="s">
        <v>53</v>
      </c>
      <c r="L122" s="36" t="s">
        <v>54</v>
      </c>
      <c r="M122" s="36">
        <v>21</v>
      </c>
      <c r="N122" s="33" t="s">
        <v>55</v>
      </c>
      <c r="O122" s="33" t="s">
        <v>33</v>
      </c>
      <c r="P122" s="45" t="s">
        <v>339</v>
      </c>
      <c r="Q122" s="38" t="s">
        <v>900</v>
      </c>
      <c r="R122" s="33" t="s">
        <v>37</v>
      </c>
      <c r="S122" s="33" t="s">
        <v>37</v>
      </c>
      <c r="T122" s="33">
        <v>250</v>
      </c>
      <c r="U122" s="33" t="s">
        <v>346</v>
      </c>
      <c r="V122" s="33">
        <v>19.899999999999999</v>
      </c>
      <c r="W122" s="33" t="s">
        <v>341</v>
      </c>
      <c r="X122" s="33">
        <v>8.24</v>
      </c>
      <c r="Y122" s="33">
        <v>6.391</v>
      </c>
      <c r="Z122" s="33" t="s">
        <v>37</v>
      </c>
      <c r="AA122" s="33">
        <v>530</v>
      </c>
      <c r="AB122" s="33">
        <v>530</v>
      </c>
      <c r="AC122" s="39">
        <f t="shared" si="77"/>
        <v>8.2929119073697386</v>
      </c>
      <c r="AD122" s="40">
        <f t="shared" si="69"/>
        <v>29.151545903321178</v>
      </c>
      <c r="AE122" s="40">
        <f t="shared" si="78"/>
        <v>29.151545903321178</v>
      </c>
      <c r="AG122" s="16">
        <f t="shared" si="70"/>
        <v>0.28054336379517103</v>
      </c>
      <c r="AH122" s="26">
        <f t="shared" si="71"/>
        <v>3.5645113342624466</v>
      </c>
      <c r="AJ122" s="85" t="str">
        <f t="shared" si="72"/>
        <v>NOEC</v>
      </c>
      <c r="AK122" s="9">
        <f t="shared" si="57"/>
        <v>1</v>
      </c>
      <c r="AL122" s="18">
        <f t="shared" si="73"/>
        <v>29.151545903321178</v>
      </c>
      <c r="AM122" s="88" t="str">
        <f t="shared" si="74"/>
        <v>Chronic</v>
      </c>
      <c r="AN122" s="9">
        <f t="shared" si="58"/>
        <v>1</v>
      </c>
      <c r="AO122" s="18">
        <f t="shared" si="59"/>
        <v>29.151545903321178</v>
      </c>
      <c r="AP122" s="16"/>
      <c r="AQ122" s="101" t="str">
        <f t="shared" si="75"/>
        <v>NOEC</v>
      </c>
      <c r="AR122" s="102" t="s">
        <v>356</v>
      </c>
      <c r="AS122" s="103" t="str">
        <f t="shared" si="76"/>
        <v>Chronic</v>
      </c>
      <c r="AT122" s="102" t="str">
        <f t="shared" si="61"/>
        <v>y</v>
      </c>
      <c r="AU122" s="139" t="s">
        <v>506</v>
      </c>
      <c r="AV122" s="102"/>
      <c r="AW122" s="105"/>
      <c r="AX122" s="102"/>
      <c r="AY122" s="102"/>
      <c r="AZ122" s="106"/>
      <c r="BA122" s="107"/>
      <c r="BB122" s="108"/>
      <c r="BC122" s="109"/>
    </row>
    <row r="123" spans="1:56" ht="16" x14ac:dyDescent="0.25">
      <c r="A123" s="32" t="s">
        <v>383</v>
      </c>
      <c r="B123" s="44">
        <v>223</v>
      </c>
      <c r="C123" s="34" t="s">
        <v>24</v>
      </c>
      <c r="D123" s="35" t="s">
        <v>381</v>
      </c>
      <c r="E123" s="33" t="s">
        <v>178</v>
      </c>
      <c r="F123" s="33" t="s">
        <v>179</v>
      </c>
      <c r="G123" s="33" t="s">
        <v>72</v>
      </c>
      <c r="H123" s="33" t="s">
        <v>572</v>
      </c>
      <c r="I123" s="36" t="s">
        <v>382</v>
      </c>
      <c r="J123" s="36" t="s">
        <v>53</v>
      </c>
      <c r="K123" s="36" t="s">
        <v>53</v>
      </c>
      <c r="L123" s="36" t="s">
        <v>54</v>
      </c>
      <c r="M123" s="36">
        <v>28</v>
      </c>
      <c r="N123" s="33" t="s">
        <v>55</v>
      </c>
      <c r="O123" s="33" t="s">
        <v>33</v>
      </c>
      <c r="P123" s="45" t="s">
        <v>339</v>
      </c>
      <c r="Q123" s="38" t="s">
        <v>900</v>
      </c>
      <c r="R123" s="33" t="s">
        <v>37</v>
      </c>
      <c r="S123" s="33" t="s">
        <v>37</v>
      </c>
      <c r="T123" s="33">
        <v>250</v>
      </c>
      <c r="U123" s="33" t="s">
        <v>346</v>
      </c>
      <c r="V123" s="33">
        <v>19.899999999999999</v>
      </c>
      <c r="W123" s="33" t="s">
        <v>341</v>
      </c>
      <c r="X123" s="33">
        <v>8.24</v>
      </c>
      <c r="Y123" s="33">
        <v>6.391</v>
      </c>
      <c r="Z123" s="33" t="s">
        <v>37</v>
      </c>
      <c r="AA123" s="33">
        <v>530</v>
      </c>
      <c r="AB123" s="33">
        <v>530</v>
      </c>
      <c r="AC123" s="39">
        <f t="shared" si="77"/>
        <v>8.2929119073697386</v>
      </c>
      <c r="AD123" s="40">
        <f t="shared" si="69"/>
        <v>29.151545903321178</v>
      </c>
      <c r="AE123" s="40">
        <f t="shared" si="78"/>
        <v>29.151545903321178</v>
      </c>
      <c r="AG123" s="16">
        <f t="shared" si="70"/>
        <v>0.28054336379517103</v>
      </c>
      <c r="AH123" s="26">
        <f t="shared" si="71"/>
        <v>3.5645113342624466</v>
      </c>
      <c r="AJ123" s="85" t="str">
        <f t="shared" si="72"/>
        <v>NOEC</v>
      </c>
      <c r="AK123" s="9">
        <f t="shared" si="57"/>
        <v>1</v>
      </c>
      <c r="AL123" s="18">
        <f t="shared" si="73"/>
        <v>29.151545903321178</v>
      </c>
      <c r="AM123" s="88" t="str">
        <f t="shared" si="74"/>
        <v>Chronic</v>
      </c>
      <c r="AN123" s="9">
        <f t="shared" si="58"/>
        <v>1</v>
      </c>
      <c r="AO123" s="18">
        <f t="shared" si="59"/>
        <v>29.151545903321178</v>
      </c>
      <c r="AP123" s="16"/>
      <c r="AQ123" s="132" t="str">
        <f t="shared" si="75"/>
        <v>NOEC</v>
      </c>
      <c r="AR123" s="67" t="s">
        <v>356</v>
      </c>
      <c r="AS123" s="88" t="str">
        <f t="shared" si="76"/>
        <v>Chronic</v>
      </c>
      <c r="AT123" s="67" t="str">
        <f t="shared" si="61"/>
        <v>y</v>
      </c>
      <c r="AU123" s="76" t="s">
        <v>506</v>
      </c>
      <c r="AV123" s="67"/>
      <c r="AW123" s="70"/>
      <c r="AX123" s="67"/>
      <c r="AY123" s="67"/>
      <c r="AZ123" s="80"/>
      <c r="BA123" s="81"/>
      <c r="BB123" s="78"/>
      <c r="BC123" s="133"/>
      <c r="BD123" t="s">
        <v>521</v>
      </c>
    </row>
    <row r="124" spans="1:56" ht="15" customHeight="1" x14ac:dyDescent="0.25">
      <c r="A124" s="32" t="s">
        <v>384</v>
      </c>
      <c r="B124" s="44">
        <v>223</v>
      </c>
      <c r="C124" s="34" t="s">
        <v>24</v>
      </c>
      <c r="D124" s="35" t="s">
        <v>381</v>
      </c>
      <c r="E124" s="33" t="s">
        <v>178</v>
      </c>
      <c r="F124" s="33" t="s">
        <v>179</v>
      </c>
      <c r="G124" s="33" t="s">
        <v>72</v>
      </c>
      <c r="H124" s="33" t="s">
        <v>572</v>
      </c>
      <c r="I124" s="36" t="s">
        <v>382</v>
      </c>
      <c r="J124" s="36" t="s">
        <v>53</v>
      </c>
      <c r="K124" s="36" t="s">
        <v>53</v>
      </c>
      <c r="L124" s="36" t="s">
        <v>206</v>
      </c>
      <c r="M124" s="36">
        <v>28</v>
      </c>
      <c r="N124" s="33" t="s">
        <v>55</v>
      </c>
      <c r="O124" s="33" t="s">
        <v>33</v>
      </c>
      <c r="P124" s="45" t="s">
        <v>339</v>
      </c>
      <c r="Q124" s="38" t="s">
        <v>900</v>
      </c>
      <c r="R124" s="33" t="s">
        <v>37</v>
      </c>
      <c r="S124" s="33" t="s">
        <v>37</v>
      </c>
      <c r="T124" s="33">
        <v>250</v>
      </c>
      <c r="U124" s="33" t="s">
        <v>346</v>
      </c>
      <c r="V124" s="33">
        <v>19.899999999999999</v>
      </c>
      <c r="W124" s="33" t="s">
        <v>341</v>
      </c>
      <c r="X124" s="33">
        <v>8.24</v>
      </c>
      <c r="Y124" s="33">
        <v>6.391</v>
      </c>
      <c r="Z124" s="33" t="s">
        <v>37</v>
      </c>
      <c r="AA124" s="33">
        <v>380</v>
      </c>
      <c r="AB124" s="33">
        <v>380</v>
      </c>
      <c r="AC124" s="39">
        <f t="shared" si="77"/>
        <v>5.9458613675481145</v>
      </c>
      <c r="AD124" s="40">
        <f t="shared" si="69"/>
        <v>20.901108383513296</v>
      </c>
      <c r="AE124" s="40">
        <f t="shared" si="78"/>
        <v>20.901108383513296</v>
      </c>
      <c r="AG124" s="16">
        <f t="shared" si="70"/>
        <v>0.28054336379517103</v>
      </c>
      <c r="AH124" s="26">
        <f t="shared" si="71"/>
        <v>3.5645113342624466</v>
      </c>
      <c r="AJ124" s="85" t="str">
        <f t="shared" si="72"/>
        <v>LC20</v>
      </c>
      <c r="AK124" s="9">
        <f t="shared" si="57"/>
        <v>1</v>
      </c>
      <c r="AL124" s="18">
        <f t="shared" si="73"/>
        <v>20.901108383513296</v>
      </c>
      <c r="AM124" s="88" t="str">
        <f t="shared" si="74"/>
        <v>Chronic</v>
      </c>
      <c r="AN124" s="9">
        <f t="shared" si="58"/>
        <v>1</v>
      </c>
      <c r="AO124" s="18">
        <f t="shared" si="59"/>
        <v>20.901108383513296</v>
      </c>
      <c r="AP124" s="16"/>
      <c r="AQ124" s="132" t="str">
        <f t="shared" si="75"/>
        <v>LC20</v>
      </c>
      <c r="AR124" s="67" t="s">
        <v>356</v>
      </c>
      <c r="AS124" s="88" t="str">
        <f t="shared" si="76"/>
        <v>Chronic</v>
      </c>
      <c r="AT124" s="67" t="str">
        <f t="shared" si="61"/>
        <v>y</v>
      </c>
      <c r="AU124" s="76" t="s">
        <v>505</v>
      </c>
      <c r="AV124" s="67"/>
      <c r="AW124" s="70"/>
      <c r="AX124" s="67"/>
      <c r="AY124" s="67"/>
      <c r="AZ124" s="80"/>
      <c r="BA124" s="81"/>
      <c r="BB124" s="78"/>
      <c r="BC124" s="133"/>
      <c r="BD124" t="s">
        <v>522</v>
      </c>
    </row>
    <row r="125" spans="1:56" ht="15" customHeight="1" x14ac:dyDescent="0.25">
      <c r="A125" s="32" t="s">
        <v>385</v>
      </c>
      <c r="B125" s="44">
        <v>223</v>
      </c>
      <c r="C125" s="34" t="s">
        <v>24</v>
      </c>
      <c r="D125" s="35" t="s">
        <v>381</v>
      </c>
      <c r="E125" s="33" t="s">
        <v>178</v>
      </c>
      <c r="F125" s="33" t="s">
        <v>179</v>
      </c>
      <c r="G125" s="33" t="s">
        <v>72</v>
      </c>
      <c r="H125" s="33" t="s">
        <v>572</v>
      </c>
      <c r="I125" s="36" t="s">
        <v>382</v>
      </c>
      <c r="J125" s="36" t="s">
        <v>53</v>
      </c>
      <c r="K125" s="36" t="s">
        <v>53</v>
      </c>
      <c r="L125" s="36" t="s">
        <v>112</v>
      </c>
      <c r="M125" s="36">
        <v>21</v>
      </c>
      <c r="N125" s="33" t="s">
        <v>55</v>
      </c>
      <c r="O125" s="33" t="s">
        <v>33</v>
      </c>
      <c r="P125" s="45" t="s">
        <v>339</v>
      </c>
      <c r="Q125" s="38" t="s">
        <v>900</v>
      </c>
      <c r="R125" s="33" t="s">
        <v>37</v>
      </c>
      <c r="S125" s="33" t="s">
        <v>37</v>
      </c>
      <c r="T125" s="33">
        <v>250</v>
      </c>
      <c r="U125" s="33" t="s">
        <v>346</v>
      </c>
      <c r="V125" s="33">
        <v>19.899999999999999</v>
      </c>
      <c r="W125" s="33" t="s">
        <v>341</v>
      </c>
      <c r="X125" s="33">
        <v>8.24</v>
      </c>
      <c r="Y125" s="33">
        <v>6.391</v>
      </c>
      <c r="Z125" s="33" t="s">
        <v>37</v>
      </c>
      <c r="AA125" s="33">
        <v>670</v>
      </c>
      <c r="AB125" s="33">
        <v>670</v>
      </c>
      <c r="AC125" s="39">
        <f t="shared" si="77"/>
        <v>10.483492411203255</v>
      </c>
      <c r="AD125" s="40">
        <f t="shared" si="69"/>
        <v>36.85195425514187</v>
      </c>
      <c r="AE125" s="40">
        <f t="shared" si="78"/>
        <v>36.85195425514187</v>
      </c>
      <c r="AG125" s="16">
        <f t="shared" si="70"/>
        <v>0.28054336379517103</v>
      </c>
      <c r="AH125" s="26">
        <f t="shared" si="71"/>
        <v>3.5645113342624466</v>
      </c>
      <c r="AJ125" s="85" t="str">
        <f t="shared" si="72"/>
        <v>LC50</v>
      </c>
      <c r="AK125" s="9">
        <f t="shared" si="57"/>
        <v>5</v>
      </c>
      <c r="AL125" s="18">
        <f t="shared" si="73"/>
        <v>7.3703908510283735</v>
      </c>
      <c r="AM125" s="88" t="str">
        <f t="shared" si="74"/>
        <v>Chronic</v>
      </c>
      <c r="AN125" s="9">
        <f t="shared" si="58"/>
        <v>1</v>
      </c>
      <c r="AO125" s="18">
        <f t="shared" si="59"/>
        <v>7.3703908510283735</v>
      </c>
      <c r="AP125" s="16"/>
      <c r="AQ125" s="132" t="str">
        <f t="shared" si="75"/>
        <v>LC50</v>
      </c>
      <c r="AR125" s="67" t="s">
        <v>463</v>
      </c>
      <c r="AS125" s="88" t="str">
        <f t="shared" si="76"/>
        <v>Chronic</v>
      </c>
      <c r="AT125" s="67" t="str">
        <f t="shared" si="61"/>
        <v>y</v>
      </c>
      <c r="AU125" s="76" t="s">
        <v>505</v>
      </c>
      <c r="AV125" s="67"/>
      <c r="AW125" s="70"/>
      <c r="AX125" s="67"/>
      <c r="AY125" s="67"/>
      <c r="AZ125" s="80"/>
      <c r="BA125" s="81"/>
      <c r="BB125" s="78"/>
      <c r="BC125" s="133"/>
      <c r="BD125" t="s">
        <v>525</v>
      </c>
    </row>
    <row r="126" spans="1:56" ht="15" customHeight="1" x14ac:dyDescent="0.25">
      <c r="A126" s="32" t="s">
        <v>386</v>
      </c>
      <c r="B126" s="44">
        <v>223</v>
      </c>
      <c r="C126" s="34" t="s">
        <v>24</v>
      </c>
      <c r="D126" s="35" t="s">
        <v>381</v>
      </c>
      <c r="E126" s="33" t="s">
        <v>178</v>
      </c>
      <c r="F126" s="33" t="s">
        <v>179</v>
      </c>
      <c r="G126" s="33" t="s">
        <v>72</v>
      </c>
      <c r="H126" s="33" t="s">
        <v>572</v>
      </c>
      <c r="I126" s="36" t="s">
        <v>382</v>
      </c>
      <c r="J126" s="36" t="s">
        <v>53</v>
      </c>
      <c r="K126" s="36" t="s">
        <v>53</v>
      </c>
      <c r="L126" s="36" t="s">
        <v>112</v>
      </c>
      <c r="M126" s="36">
        <v>28</v>
      </c>
      <c r="N126" s="33" t="s">
        <v>55</v>
      </c>
      <c r="O126" s="33" t="s">
        <v>33</v>
      </c>
      <c r="P126" s="45" t="s">
        <v>339</v>
      </c>
      <c r="Q126" s="38" t="s">
        <v>900</v>
      </c>
      <c r="R126" s="33" t="s">
        <v>37</v>
      </c>
      <c r="S126" s="33" t="s">
        <v>37</v>
      </c>
      <c r="T126" s="33">
        <v>250</v>
      </c>
      <c r="U126" s="33" t="s">
        <v>346</v>
      </c>
      <c r="V126" s="33">
        <v>19.899999999999999</v>
      </c>
      <c r="W126" s="33" t="s">
        <v>341</v>
      </c>
      <c r="X126" s="33">
        <v>8.24</v>
      </c>
      <c r="Y126" s="33">
        <v>6.391</v>
      </c>
      <c r="Z126" s="33" t="s">
        <v>37</v>
      </c>
      <c r="AA126" s="33">
        <v>540</v>
      </c>
      <c r="AB126" s="33">
        <v>540</v>
      </c>
      <c r="AC126" s="39">
        <f t="shared" si="77"/>
        <v>8.4493819433578476</v>
      </c>
      <c r="AD126" s="40">
        <f t="shared" si="69"/>
        <v>29.701575071308373</v>
      </c>
      <c r="AE126" s="40">
        <f t="shared" si="78"/>
        <v>29.701575071308373</v>
      </c>
      <c r="AG126" s="16">
        <f t="shared" si="70"/>
        <v>0.28054336379517103</v>
      </c>
      <c r="AH126" s="26">
        <f t="shared" si="71"/>
        <v>3.5645113342624466</v>
      </c>
      <c r="AJ126" s="85" t="str">
        <f t="shared" si="72"/>
        <v>LC50</v>
      </c>
      <c r="AK126" s="9">
        <f t="shared" si="57"/>
        <v>5</v>
      </c>
      <c r="AL126" s="18">
        <f t="shared" si="73"/>
        <v>5.9403150142616745</v>
      </c>
      <c r="AM126" s="88" t="str">
        <f t="shared" si="74"/>
        <v>Chronic</v>
      </c>
      <c r="AN126" s="9">
        <f t="shared" si="58"/>
        <v>1</v>
      </c>
      <c r="AO126" s="18">
        <f t="shared" si="59"/>
        <v>5.9403150142616745</v>
      </c>
      <c r="AP126" s="16"/>
      <c r="AQ126" s="132" t="str">
        <f t="shared" si="75"/>
        <v>LC50</v>
      </c>
      <c r="AR126" s="67" t="s">
        <v>463</v>
      </c>
      <c r="AS126" s="88" t="str">
        <f t="shared" si="76"/>
        <v>Chronic</v>
      </c>
      <c r="AT126" s="67" t="str">
        <f t="shared" si="61"/>
        <v>y</v>
      </c>
      <c r="AU126" s="76" t="s">
        <v>505</v>
      </c>
      <c r="AV126" s="67"/>
      <c r="AW126" s="70"/>
      <c r="AX126" s="67"/>
      <c r="AY126" s="67"/>
      <c r="AZ126" s="80"/>
      <c r="BA126" s="81"/>
      <c r="BB126" s="78"/>
      <c r="BC126" s="133"/>
      <c r="BD126" t="s">
        <v>526</v>
      </c>
    </row>
    <row r="127" spans="1:56" ht="15" customHeight="1" x14ac:dyDescent="0.25">
      <c r="A127" s="32" t="s">
        <v>387</v>
      </c>
      <c r="B127" s="44">
        <v>223</v>
      </c>
      <c r="C127" s="34" t="s">
        <v>24</v>
      </c>
      <c r="D127" s="35" t="s">
        <v>381</v>
      </c>
      <c r="E127" s="33" t="s">
        <v>178</v>
      </c>
      <c r="F127" s="33" t="s">
        <v>179</v>
      </c>
      <c r="G127" s="33" t="s">
        <v>72</v>
      </c>
      <c r="H127" s="33" t="s">
        <v>572</v>
      </c>
      <c r="I127" s="36" t="s">
        <v>382</v>
      </c>
      <c r="J127" s="36" t="s">
        <v>53</v>
      </c>
      <c r="K127" s="36" t="s">
        <v>53</v>
      </c>
      <c r="L127" s="36" t="s">
        <v>370</v>
      </c>
      <c r="M127" s="36">
        <v>28</v>
      </c>
      <c r="N127" s="33" t="s">
        <v>55</v>
      </c>
      <c r="O127" s="33" t="s">
        <v>33</v>
      </c>
      <c r="P127" s="45" t="s">
        <v>339</v>
      </c>
      <c r="Q127" s="38" t="s">
        <v>900</v>
      </c>
      <c r="R127" s="33" t="s">
        <v>37</v>
      </c>
      <c r="S127" s="33" t="s">
        <v>37</v>
      </c>
      <c r="T127" s="33">
        <v>250</v>
      </c>
      <c r="U127" s="33" t="s">
        <v>346</v>
      </c>
      <c r="V127" s="33">
        <v>19.899999999999999</v>
      </c>
      <c r="W127" s="33" t="s">
        <v>341</v>
      </c>
      <c r="X127" s="33">
        <v>8.24</v>
      </c>
      <c r="Y127" s="33">
        <v>6.391</v>
      </c>
      <c r="Z127" s="33" t="s">
        <v>37</v>
      </c>
      <c r="AA127" s="33">
        <v>250</v>
      </c>
      <c r="AB127" s="33">
        <v>250</v>
      </c>
      <c r="AC127" s="40">
        <f t="shared" si="77"/>
        <v>3.9117508997027071</v>
      </c>
      <c r="AD127" s="40">
        <f t="shared" si="69"/>
        <v>13.750729199679801</v>
      </c>
      <c r="AE127" s="40">
        <f t="shared" si="78"/>
        <v>13.750729199679801</v>
      </c>
      <c r="AG127" s="16">
        <f t="shared" si="70"/>
        <v>0.28054336379517103</v>
      </c>
      <c r="AH127" s="26">
        <f t="shared" si="71"/>
        <v>3.5645113342624466</v>
      </c>
      <c r="AJ127" s="85" t="str">
        <f t="shared" si="72"/>
        <v>LC1</v>
      </c>
      <c r="AK127" s="9">
        <f t="shared" si="57"/>
        <v>1</v>
      </c>
      <c r="AL127" s="18">
        <f t="shared" si="73"/>
        <v>13.750729199679801</v>
      </c>
      <c r="AM127" s="88" t="str">
        <f t="shared" si="74"/>
        <v>Chronic</v>
      </c>
      <c r="AN127" s="9">
        <f t="shared" si="58"/>
        <v>1</v>
      </c>
      <c r="AO127" s="18">
        <f t="shared" si="59"/>
        <v>13.750729199679801</v>
      </c>
      <c r="AP127" s="16"/>
      <c r="AQ127" s="110" t="str">
        <f t="shared" si="75"/>
        <v>LC1</v>
      </c>
      <c r="AR127" s="111" t="s">
        <v>356</v>
      </c>
      <c r="AS127" s="112" t="str">
        <f t="shared" si="76"/>
        <v>Chronic</v>
      </c>
      <c r="AT127" s="111" t="str">
        <f t="shared" si="61"/>
        <v>y</v>
      </c>
      <c r="AU127" s="134" t="str">
        <f>K127</f>
        <v>Mortality</v>
      </c>
      <c r="AV127" s="111" t="s">
        <v>459</v>
      </c>
      <c r="AW127" s="114">
        <f>M127</f>
        <v>28</v>
      </c>
      <c r="AX127" s="111" t="s">
        <v>460</v>
      </c>
      <c r="AY127" s="111"/>
      <c r="AZ127" s="138">
        <f>AO127</f>
        <v>13.750729199679801</v>
      </c>
      <c r="BA127" s="140">
        <f>GEOMEAN(AZ127)</f>
        <v>13.750729199679801</v>
      </c>
      <c r="BB127" s="141">
        <f>MIN(BA127)</f>
        <v>13.750729199679801</v>
      </c>
      <c r="BC127" s="137">
        <f>MIN(BB127)</f>
        <v>13.750729199679801</v>
      </c>
    </row>
    <row r="128" spans="1:56" ht="16" x14ac:dyDescent="0.25">
      <c r="A128" s="19" t="s">
        <v>388</v>
      </c>
      <c r="B128" s="23">
        <v>228</v>
      </c>
      <c r="C128" s="10" t="s">
        <v>24</v>
      </c>
      <c r="D128" s="11" t="s">
        <v>389</v>
      </c>
      <c r="E128" s="9" t="s">
        <v>178</v>
      </c>
      <c r="F128" s="9" t="s">
        <v>390</v>
      </c>
      <c r="G128" s="9" t="s">
        <v>72</v>
      </c>
      <c r="H128" s="9" t="s">
        <v>572</v>
      </c>
      <c r="I128" s="9" t="s">
        <v>224</v>
      </c>
      <c r="J128" s="12" t="s">
        <v>391</v>
      </c>
      <c r="K128" s="12" t="s">
        <v>391</v>
      </c>
      <c r="L128" s="12" t="s">
        <v>392</v>
      </c>
      <c r="M128" s="9">
        <v>10</v>
      </c>
      <c r="N128" s="9" t="s">
        <v>55</v>
      </c>
      <c r="O128" s="9" t="s">
        <v>33</v>
      </c>
      <c r="P128" s="25" t="s">
        <v>393</v>
      </c>
      <c r="Q128" s="14" t="s">
        <v>900</v>
      </c>
      <c r="R128" s="435" t="s">
        <v>950</v>
      </c>
      <c r="S128" s="23" t="s">
        <v>37</v>
      </c>
      <c r="T128" s="23" t="s">
        <v>949</v>
      </c>
      <c r="U128" s="23">
        <v>22</v>
      </c>
      <c r="V128" s="23">
        <v>22</v>
      </c>
      <c r="W128" s="9" t="s">
        <v>394</v>
      </c>
      <c r="X128" s="9">
        <v>7.3</v>
      </c>
      <c r="Y128" s="23">
        <v>0.22900000000000001</v>
      </c>
      <c r="Z128" s="9">
        <v>6.1</v>
      </c>
      <c r="AA128" s="16" t="s">
        <v>395</v>
      </c>
      <c r="AB128" s="9">
        <v>189</v>
      </c>
      <c r="AC128" s="9">
        <v>6.1</v>
      </c>
      <c r="AD128" s="15">
        <f t="shared" si="69"/>
        <v>7.0999753508255923</v>
      </c>
      <c r="AE128" s="15">
        <f t="shared" ref="AE128:AE143" si="79">AD128</f>
        <v>7.0999753508255923</v>
      </c>
      <c r="AG128" s="16">
        <f t="shared" si="70"/>
        <v>2.4434305526939717</v>
      </c>
      <c r="AH128" s="26">
        <f t="shared" si="71"/>
        <v>0.40926065973001091</v>
      </c>
      <c r="AJ128" s="85" t="str">
        <f t="shared" si="72"/>
        <v>NOAEL</v>
      </c>
      <c r="AK128" s="9">
        <f t="shared" si="57"/>
        <v>1</v>
      </c>
      <c r="AL128" s="18">
        <f t="shared" si="73"/>
        <v>7.0999753508255923</v>
      </c>
      <c r="AM128" s="88" t="str">
        <f t="shared" si="74"/>
        <v>Chronic</v>
      </c>
      <c r="AN128" s="9">
        <f t="shared" si="58"/>
        <v>1</v>
      </c>
      <c r="AO128" s="18">
        <f t="shared" si="59"/>
        <v>7.0999753508255923</v>
      </c>
      <c r="AP128" s="16"/>
      <c r="AQ128" s="101" t="str">
        <f t="shared" si="75"/>
        <v>NOAEL</v>
      </c>
      <c r="AR128" s="102" t="s">
        <v>356</v>
      </c>
      <c r="AS128" s="103" t="str">
        <f t="shared" si="76"/>
        <v>Chronic</v>
      </c>
      <c r="AT128" s="102" t="str">
        <f t="shared" si="61"/>
        <v>y</v>
      </c>
      <c r="AU128" s="104" t="str">
        <f>K128</f>
        <v>Deformaties</v>
      </c>
      <c r="AV128" s="102" t="s">
        <v>508</v>
      </c>
      <c r="AW128" s="105">
        <f>M128</f>
        <v>10</v>
      </c>
      <c r="AX128" s="102" t="s">
        <v>460</v>
      </c>
      <c r="AY128" s="102"/>
      <c r="AZ128" s="147">
        <f t="shared" ref="AZ128:AZ143" si="80">AO128</f>
        <v>7.0999753508255923</v>
      </c>
      <c r="BA128" s="118">
        <f>GEOMEAN(AZ128)</f>
        <v>7.0999753508255923</v>
      </c>
      <c r="BB128" s="119">
        <f>MIN(BA128)</f>
        <v>7.0999753508255923</v>
      </c>
      <c r="BC128" s="126">
        <f>MIN(BB128:BB143)</f>
        <v>7.0999753508255923</v>
      </c>
      <c r="BD128" t="s">
        <v>527</v>
      </c>
    </row>
    <row r="129" spans="1:55" ht="16" x14ac:dyDescent="0.25">
      <c r="A129" s="19" t="s">
        <v>396</v>
      </c>
      <c r="B129" s="23">
        <v>228</v>
      </c>
      <c r="C129" s="10" t="s">
        <v>24</v>
      </c>
      <c r="D129" s="11" t="s">
        <v>389</v>
      </c>
      <c r="E129" s="9" t="s">
        <v>178</v>
      </c>
      <c r="F129" s="9" t="s">
        <v>390</v>
      </c>
      <c r="G129" s="9" t="s">
        <v>72</v>
      </c>
      <c r="H129" s="9" t="s">
        <v>572</v>
      </c>
      <c r="I129" s="9" t="s">
        <v>224</v>
      </c>
      <c r="J129" s="12" t="s">
        <v>208</v>
      </c>
      <c r="K129" s="12" t="s">
        <v>397</v>
      </c>
      <c r="L129" s="12" t="s">
        <v>392</v>
      </c>
      <c r="M129" s="9">
        <v>10</v>
      </c>
      <c r="N129" s="9" t="s">
        <v>55</v>
      </c>
      <c r="O129" s="9" t="s">
        <v>33</v>
      </c>
      <c r="P129" s="25" t="s">
        <v>393</v>
      </c>
      <c r="Q129" s="25" t="s">
        <v>951</v>
      </c>
      <c r="R129" s="435" t="s">
        <v>950</v>
      </c>
      <c r="S129" s="23" t="s">
        <v>37</v>
      </c>
      <c r="T129" s="23" t="s">
        <v>949</v>
      </c>
      <c r="U129" s="23">
        <v>22</v>
      </c>
      <c r="V129" s="23">
        <v>22</v>
      </c>
      <c r="W129" s="9" t="s">
        <v>394</v>
      </c>
      <c r="X129" s="9">
        <v>7.3</v>
      </c>
      <c r="Y129" s="23">
        <v>0.22900000000000001</v>
      </c>
      <c r="Z129" s="9">
        <v>3.3</v>
      </c>
      <c r="AA129" s="16" t="s">
        <v>398</v>
      </c>
      <c r="AB129" s="9">
        <v>24.7</v>
      </c>
      <c r="AC129" s="9">
        <v>3.3</v>
      </c>
      <c r="AD129" s="15">
        <f t="shared" si="69"/>
        <v>3.8409702717581071</v>
      </c>
      <c r="AE129" s="15">
        <f t="shared" si="79"/>
        <v>3.8409702717581071</v>
      </c>
      <c r="AG129" s="16">
        <f t="shared" si="70"/>
        <v>2.4434305526939717</v>
      </c>
      <c r="AH129" s="26">
        <f t="shared" si="71"/>
        <v>0.40926065973001091</v>
      </c>
      <c r="AJ129" s="85" t="str">
        <f t="shared" si="72"/>
        <v>NOAEL</v>
      </c>
      <c r="AK129" s="9">
        <f t="shared" si="57"/>
        <v>1</v>
      </c>
      <c r="AL129" s="18">
        <f t="shared" si="73"/>
        <v>3.8409702717581071</v>
      </c>
      <c r="AM129" s="88" t="str">
        <f t="shared" si="74"/>
        <v>Chronic</v>
      </c>
      <c r="AN129" s="9">
        <f t="shared" si="58"/>
        <v>1</v>
      </c>
      <c r="AO129" s="18">
        <f t="shared" si="59"/>
        <v>3.8409702717581071</v>
      </c>
      <c r="AP129" s="16"/>
      <c r="AQ129" s="132" t="str">
        <f t="shared" si="75"/>
        <v>NOAEL</v>
      </c>
      <c r="AR129" s="67" t="s">
        <v>356</v>
      </c>
      <c r="AS129" s="88" t="str">
        <f t="shared" si="76"/>
        <v>Chronic</v>
      </c>
      <c r="AT129" s="67" t="str">
        <f t="shared" si="61"/>
        <v>y</v>
      </c>
      <c r="AU129" s="69" t="str">
        <f>K129</f>
        <v>Biomass (Length)</v>
      </c>
      <c r="AV129" s="67" t="s">
        <v>509</v>
      </c>
      <c r="AW129" s="70">
        <f>M129</f>
        <v>10</v>
      </c>
      <c r="AX129" s="67" t="s">
        <v>474</v>
      </c>
      <c r="AY129" s="67"/>
      <c r="AZ129" s="82">
        <f t="shared" si="80"/>
        <v>3.8409702717581071</v>
      </c>
      <c r="BA129" s="72">
        <f>GEOMEAN(AZ129:AZ131)</f>
        <v>7.1879252407161349</v>
      </c>
      <c r="BB129" s="73">
        <f>MIN(BA129)</f>
        <v>7.1879252407161349</v>
      </c>
      <c r="BC129" s="133"/>
    </row>
    <row r="130" spans="1:55" ht="16" x14ac:dyDescent="0.25">
      <c r="A130" s="19" t="s">
        <v>388</v>
      </c>
      <c r="B130" s="23">
        <v>228</v>
      </c>
      <c r="C130" s="10" t="s">
        <v>24</v>
      </c>
      <c r="D130" s="11" t="s">
        <v>389</v>
      </c>
      <c r="E130" s="9" t="s">
        <v>178</v>
      </c>
      <c r="F130" s="9" t="s">
        <v>390</v>
      </c>
      <c r="G130" s="9" t="s">
        <v>72</v>
      </c>
      <c r="H130" s="9" t="s">
        <v>572</v>
      </c>
      <c r="I130" s="9" t="s">
        <v>224</v>
      </c>
      <c r="J130" s="12" t="s">
        <v>208</v>
      </c>
      <c r="K130" s="12" t="s">
        <v>397</v>
      </c>
      <c r="L130" s="12" t="s">
        <v>392</v>
      </c>
      <c r="M130" s="9">
        <v>10</v>
      </c>
      <c r="N130" s="9" t="s">
        <v>55</v>
      </c>
      <c r="O130" s="9" t="s">
        <v>33</v>
      </c>
      <c r="P130" s="25" t="s">
        <v>393</v>
      </c>
      <c r="Q130" s="14" t="s">
        <v>900</v>
      </c>
      <c r="R130" s="435" t="s">
        <v>950</v>
      </c>
      <c r="S130" s="23" t="s">
        <v>37</v>
      </c>
      <c r="T130" s="23" t="s">
        <v>949</v>
      </c>
      <c r="U130" s="23">
        <v>22</v>
      </c>
      <c r="V130" s="23">
        <v>22</v>
      </c>
      <c r="W130" s="9" t="s">
        <v>394</v>
      </c>
      <c r="X130" s="9">
        <v>7.3</v>
      </c>
      <c r="Y130" s="23">
        <v>0.22900000000000001</v>
      </c>
      <c r="Z130" s="9">
        <v>6.1</v>
      </c>
      <c r="AA130" s="16" t="s">
        <v>395</v>
      </c>
      <c r="AB130" s="9">
        <v>189</v>
      </c>
      <c r="AC130" s="9">
        <v>6.1</v>
      </c>
      <c r="AD130" s="15">
        <f t="shared" si="69"/>
        <v>7.0999753508255923</v>
      </c>
      <c r="AE130" s="15">
        <f t="shared" si="79"/>
        <v>7.0999753508255923</v>
      </c>
      <c r="AG130" s="16">
        <f t="shared" si="70"/>
        <v>2.4434305526939717</v>
      </c>
      <c r="AH130" s="26">
        <f t="shared" si="71"/>
        <v>0.40926065973001091</v>
      </c>
      <c r="AJ130" s="85" t="str">
        <f t="shared" si="72"/>
        <v>NOAEL</v>
      </c>
      <c r="AK130" s="9">
        <f t="shared" si="57"/>
        <v>1</v>
      </c>
      <c r="AL130" s="18">
        <f t="shared" si="73"/>
        <v>7.0999753508255923</v>
      </c>
      <c r="AM130" s="88" t="str">
        <f t="shared" si="74"/>
        <v>Chronic</v>
      </c>
      <c r="AN130" s="9">
        <f t="shared" si="58"/>
        <v>1</v>
      </c>
      <c r="AO130" s="18">
        <f t="shared" si="59"/>
        <v>7.0999753508255923</v>
      </c>
      <c r="AP130" s="16"/>
      <c r="AQ130" s="132" t="str">
        <f t="shared" si="75"/>
        <v>NOAEL</v>
      </c>
      <c r="AR130" s="67" t="s">
        <v>356</v>
      </c>
      <c r="AS130" s="88" t="str">
        <f t="shared" si="76"/>
        <v>Chronic</v>
      </c>
      <c r="AT130" s="67" t="str">
        <f t="shared" si="61"/>
        <v>y</v>
      </c>
      <c r="AU130" s="69" t="str">
        <f>K130</f>
        <v>Biomass (Length)</v>
      </c>
      <c r="AV130" s="67" t="s">
        <v>509</v>
      </c>
      <c r="AW130" s="70">
        <f>M130</f>
        <v>10</v>
      </c>
      <c r="AX130" s="67" t="s">
        <v>474</v>
      </c>
      <c r="AY130" s="67"/>
      <c r="AZ130" s="82">
        <f t="shared" si="80"/>
        <v>7.0999753508255923</v>
      </c>
      <c r="BA130" s="81"/>
      <c r="BB130" s="73"/>
      <c r="BC130" s="133"/>
    </row>
    <row r="131" spans="1:55" ht="16" x14ac:dyDescent="0.25">
      <c r="A131" s="19" t="s">
        <v>399</v>
      </c>
      <c r="B131" s="23">
        <v>228</v>
      </c>
      <c r="C131" s="10" t="s">
        <v>24</v>
      </c>
      <c r="D131" s="11" t="s">
        <v>389</v>
      </c>
      <c r="E131" s="9" t="s">
        <v>178</v>
      </c>
      <c r="F131" s="9" t="s">
        <v>390</v>
      </c>
      <c r="G131" s="9" t="s">
        <v>72</v>
      </c>
      <c r="H131" s="9" t="s">
        <v>572</v>
      </c>
      <c r="I131" s="9" t="s">
        <v>224</v>
      </c>
      <c r="J131" s="12" t="s">
        <v>208</v>
      </c>
      <c r="K131" s="12" t="s">
        <v>397</v>
      </c>
      <c r="L131" s="12" t="s">
        <v>392</v>
      </c>
      <c r="M131" s="9">
        <v>10</v>
      </c>
      <c r="N131" s="9" t="s">
        <v>55</v>
      </c>
      <c r="O131" s="9" t="s">
        <v>33</v>
      </c>
      <c r="P131" s="25" t="s">
        <v>393</v>
      </c>
      <c r="Q131" s="25" t="s">
        <v>903</v>
      </c>
      <c r="R131" s="435" t="s">
        <v>950</v>
      </c>
      <c r="S131" s="23" t="s">
        <v>37</v>
      </c>
      <c r="T131" s="23" t="s">
        <v>949</v>
      </c>
      <c r="U131" s="23">
        <v>22</v>
      </c>
      <c r="V131" s="23">
        <v>22</v>
      </c>
      <c r="W131" s="9" t="s">
        <v>394</v>
      </c>
      <c r="X131" s="9">
        <v>7.3</v>
      </c>
      <c r="Y131" s="23">
        <v>0.22900000000000001</v>
      </c>
      <c r="Z131" s="9">
        <v>11.7</v>
      </c>
      <c r="AA131" s="16" t="s">
        <v>400</v>
      </c>
      <c r="AB131" s="9">
        <v>148</v>
      </c>
      <c r="AC131" s="9">
        <v>11.7</v>
      </c>
      <c r="AD131" s="15">
        <f t="shared" si="69"/>
        <v>13.617985508960562</v>
      </c>
      <c r="AE131" s="15">
        <f t="shared" si="79"/>
        <v>13.617985508960562</v>
      </c>
      <c r="AG131" s="16">
        <f t="shared" si="70"/>
        <v>2.4434305526939717</v>
      </c>
      <c r="AH131" s="26">
        <f t="shared" si="71"/>
        <v>0.40926065973001091</v>
      </c>
      <c r="AJ131" s="85" t="str">
        <f t="shared" si="72"/>
        <v>NOAEL</v>
      </c>
      <c r="AK131" s="9">
        <f t="shared" si="57"/>
        <v>1</v>
      </c>
      <c r="AL131" s="18">
        <f t="shared" si="73"/>
        <v>13.617985508960562</v>
      </c>
      <c r="AM131" s="88" t="str">
        <f t="shared" si="74"/>
        <v>Chronic</v>
      </c>
      <c r="AN131" s="9">
        <f t="shared" si="58"/>
        <v>1</v>
      </c>
      <c r="AO131" s="18">
        <f t="shared" si="59"/>
        <v>13.617985508960562</v>
      </c>
      <c r="AP131" s="16"/>
      <c r="AQ131" s="132" t="str">
        <f t="shared" si="75"/>
        <v>NOAEL</v>
      </c>
      <c r="AR131" s="67" t="s">
        <v>356</v>
      </c>
      <c r="AS131" s="88" t="str">
        <f t="shared" si="76"/>
        <v>Chronic</v>
      </c>
      <c r="AT131" s="67" t="str">
        <f t="shared" si="61"/>
        <v>y</v>
      </c>
      <c r="AU131" s="69" t="str">
        <f>K131</f>
        <v>Biomass (Length)</v>
      </c>
      <c r="AV131" s="67" t="s">
        <v>509</v>
      </c>
      <c r="AW131" s="70">
        <f>M131</f>
        <v>10</v>
      </c>
      <c r="AX131" s="67" t="s">
        <v>474</v>
      </c>
      <c r="AY131" s="67"/>
      <c r="AZ131" s="82">
        <f t="shared" si="80"/>
        <v>13.617985508960562</v>
      </c>
      <c r="BA131" s="81"/>
      <c r="BB131" s="73"/>
      <c r="BC131" s="133"/>
    </row>
    <row r="132" spans="1:55" ht="16" x14ac:dyDescent="0.25">
      <c r="A132" s="19" t="s">
        <v>401</v>
      </c>
      <c r="B132" s="23">
        <v>228</v>
      </c>
      <c r="C132" s="10" t="s">
        <v>24</v>
      </c>
      <c r="D132" s="11" t="s">
        <v>389</v>
      </c>
      <c r="E132" s="9" t="s">
        <v>178</v>
      </c>
      <c r="F132" s="9" t="s">
        <v>390</v>
      </c>
      <c r="G132" s="9" t="s">
        <v>72</v>
      </c>
      <c r="H132" s="9" t="s">
        <v>572</v>
      </c>
      <c r="I132" s="9" t="s">
        <v>224</v>
      </c>
      <c r="J132" s="12" t="s">
        <v>53</v>
      </c>
      <c r="K132" s="12" t="s">
        <v>53</v>
      </c>
      <c r="L132" s="12" t="s">
        <v>112</v>
      </c>
      <c r="M132" s="9">
        <v>10</v>
      </c>
      <c r="N132" s="9" t="s">
        <v>55</v>
      </c>
      <c r="O132" s="9" t="s">
        <v>33</v>
      </c>
      <c r="P132" s="25" t="s">
        <v>393</v>
      </c>
      <c r="Q132" s="25" t="s">
        <v>951</v>
      </c>
      <c r="R132" s="435" t="s">
        <v>950</v>
      </c>
      <c r="S132" s="23" t="s">
        <v>37</v>
      </c>
      <c r="T132" s="23" t="s">
        <v>949</v>
      </c>
      <c r="U132" s="23">
        <v>22</v>
      </c>
      <c r="V132" s="23">
        <v>22</v>
      </c>
      <c r="W132" s="9" t="s">
        <v>394</v>
      </c>
      <c r="X132" s="9">
        <v>7.3</v>
      </c>
      <c r="Y132" s="23">
        <v>0.22900000000000001</v>
      </c>
      <c r="Z132" s="9">
        <v>25</v>
      </c>
      <c r="AA132" s="16" t="s">
        <v>402</v>
      </c>
      <c r="AB132" s="9">
        <v>296</v>
      </c>
      <c r="AC132" s="9">
        <v>25</v>
      </c>
      <c r="AD132" s="15">
        <f t="shared" si="69"/>
        <v>29.098259634531118</v>
      </c>
      <c r="AE132" s="15">
        <f t="shared" si="79"/>
        <v>29.098259634531118</v>
      </c>
      <c r="AG132" s="16">
        <f t="shared" si="70"/>
        <v>2.4434305526939717</v>
      </c>
      <c r="AH132" s="26">
        <f t="shared" si="71"/>
        <v>0.40926065973001091</v>
      </c>
      <c r="AJ132" s="85" t="str">
        <f t="shared" si="72"/>
        <v>LC50</v>
      </c>
      <c r="AK132" s="9">
        <f t="shared" si="57"/>
        <v>5</v>
      </c>
      <c r="AL132" s="18">
        <f t="shared" si="73"/>
        <v>5.8196519269062232</v>
      </c>
      <c r="AM132" s="88" t="str">
        <f t="shared" si="74"/>
        <v>Chronic</v>
      </c>
      <c r="AN132" s="9">
        <f t="shared" si="58"/>
        <v>1</v>
      </c>
      <c r="AO132" s="18">
        <f t="shared" si="59"/>
        <v>5.8196519269062232</v>
      </c>
      <c r="AP132" s="16"/>
      <c r="AQ132" s="132" t="str">
        <f t="shared" si="75"/>
        <v>LC50</v>
      </c>
      <c r="AR132" s="67" t="s">
        <v>463</v>
      </c>
      <c r="AS132" s="88" t="str">
        <f t="shared" si="76"/>
        <v>Chronic</v>
      </c>
      <c r="AT132" s="67" t="str">
        <f t="shared" si="61"/>
        <v>y</v>
      </c>
      <c r="AU132" s="76" t="s">
        <v>507</v>
      </c>
      <c r="AV132" s="67"/>
      <c r="AW132" s="70"/>
      <c r="AX132" s="67"/>
      <c r="AY132" s="67"/>
      <c r="AZ132" s="82"/>
      <c r="BA132" s="81"/>
      <c r="BB132" s="73"/>
      <c r="BC132" s="133"/>
    </row>
    <row r="133" spans="1:55" ht="16" x14ac:dyDescent="0.25">
      <c r="A133" s="19" t="s">
        <v>403</v>
      </c>
      <c r="B133" s="23">
        <v>228</v>
      </c>
      <c r="C133" s="10" t="s">
        <v>24</v>
      </c>
      <c r="D133" s="11" t="s">
        <v>389</v>
      </c>
      <c r="E133" s="9" t="s">
        <v>178</v>
      </c>
      <c r="F133" s="9" t="s">
        <v>390</v>
      </c>
      <c r="G133" s="9" t="s">
        <v>72</v>
      </c>
      <c r="H133" s="9" t="s">
        <v>572</v>
      </c>
      <c r="I133" s="9" t="s">
        <v>224</v>
      </c>
      <c r="J133" s="12" t="s">
        <v>53</v>
      </c>
      <c r="K133" s="12" t="s">
        <v>53</v>
      </c>
      <c r="L133" s="12" t="s">
        <v>112</v>
      </c>
      <c r="M133" s="9">
        <v>10</v>
      </c>
      <c r="N133" s="9" t="s">
        <v>55</v>
      </c>
      <c r="O133" s="9" t="s">
        <v>33</v>
      </c>
      <c r="P133" s="25" t="s">
        <v>393</v>
      </c>
      <c r="Q133" s="14" t="s">
        <v>900</v>
      </c>
      <c r="R133" s="435" t="s">
        <v>950</v>
      </c>
      <c r="S133" s="23" t="s">
        <v>37</v>
      </c>
      <c r="T133" s="23" t="s">
        <v>949</v>
      </c>
      <c r="U133" s="23">
        <v>22</v>
      </c>
      <c r="V133" s="23">
        <v>22</v>
      </c>
      <c r="W133" s="9" t="s">
        <v>394</v>
      </c>
      <c r="X133" s="9">
        <v>7.3</v>
      </c>
      <c r="Y133" s="23">
        <v>0.22900000000000001</v>
      </c>
      <c r="Z133" s="9">
        <v>30.3</v>
      </c>
      <c r="AA133" s="16" t="s">
        <v>404</v>
      </c>
      <c r="AB133" s="9">
        <v>527</v>
      </c>
      <c r="AC133" s="9">
        <v>30.3</v>
      </c>
      <c r="AD133" s="15">
        <f t="shared" ref="AD133:AD149" si="81">AC133/((0.0278/(1+AG133))+(1.1994/(1+AH133)))</f>
        <v>35.267090677051712</v>
      </c>
      <c r="AE133" s="15">
        <f t="shared" si="79"/>
        <v>35.267090677051712</v>
      </c>
      <c r="AG133" s="16">
        <f t="shared" ref="AG133:AG149" si="82">POWER(10,7.688-X133)</f>
        <v>2.4434305526939717</v>
      </c>
      <c r="AH133" s="26">
        <f t="shared" ref="AH133:AH149" si="83">POWER(10,X133-7.688)</f>
        <v>0.40926065973001091</v>
      </c>
      <c r="AJ133" s="85" t="str">
        <f t="shared" ref="AJ133:AJ149" si="84">L133</f>
        <v>LC50</v>
      </c>
      <c r="AK133" s="9">
        <f t="shared" si="57"/>
        <v>5</v>
      </c>
      <c r="AL133" s="18">
        <f t="shared" ref="AL133:AL149" si="85">AE133/AK133</f>
        <v>7.0534181354103422</v>
      </c>
      <c r="AM133" s="88" t="str">
        <f t="shared" ref="AM133:AM149" si="86">O133</f>
        <v>Chronic</v>
      </c>
      <c r="AN133" s="9">
        <f t="shared" si="58"/>
        <v>1</v>
      </c>
      <c r="AO133" s="18">
        <f t="shared" si="59"/>
        <v>7.0534181354103422</v>
      </c>
      <c r="AP133" s="16"/>
      <c r="AQ133" s="132" t="str">
        <f t="shared" ref="AQ133:AQ149" si="87">L133</f>
        <v>LC50</v>
      </c>
      <c r="AR133" s="67" t="s">
        <v>463</v>
      </c>
      <c r="AS133" s="88" t="str">
        <f t="shared" ref="AS133:AS149" si="88">O133</f>
        <v>Chronic</v>
      </c>
      <c r="AT133" s="67" t="str">
        <f t="shared" si="61"/>
        <v>y</v>
      </c>
      <c r="AU133" s="76" t="s">
        <v>507</v>
      </c>
      <c r="AV133" s="67"/>
      <c r="AW133" s="70"/>
      <c r="AX133" s="67"/>
      <c r="AY133" s="67"/>
      <c r="AZ133" s="82"/>
      <c r="BA133" s="81"/>
      <c r="BB133" s="73"/>
      <c r="BC133" s="133"/>
    </row>
    <row r="134" spans="1:55" ht="16" x14ac:dyDescent="0.25">
      <c r="A134" s="19" t="s">
        <v>405</v>
      </c>
      <c r="B134" s="23">
        <v>228</v>
      </c>
      <c r="C134" s="10" t="s">
        <v>24</v>
      </c>
      <c r="D134" s="11" t="s">
        <v>389</v>
      </c>
      <c r="E134" s="9" t="s">
        <v>178</v>
      </c>
      <c r="F134" s="9" t="s">
        <v>390</v>
      </c>
      <c r="G134" s="9" t="s">
        <v>72</v>
      </c>
      <c r="H134" s="9" t="s">
        <v>572</v>
      </c>
      <c r="I134" s="9" t="s">
        <v>224</v>
      </c>
      <c r="J134" s="12" t="s">
        <v>53</v>
      </c>
      <c r="K134" s="12" t="s">
        <v>53</v>
      </c>
      <c r="L134" s="12" t="s">
        <v>112</v>
      </c>
      <c r="M134" s="9">
        <v>10</v>
      </c>
      <c r="N134" s="9" t="s">
        <v>55</v>
      </c>
      <c r="O134" s="9" t="s">
        <v>33</v>
      </c>
      <c r="P134" s="25" t="s">
        <v>393</v>
      </c>
      <c r="Q134" s="25" t="s">
        <v>903</v>
      </c>
      <c r="R134" s="435" t="s">
        <v>950</v>
      </c>
      <c r="S134" s="23" t="s">
        <v>37</v>
      </c>
      <c r="T134" s="23" t="s">
        <v>949</v>
      </c>
      <c r="U134" s="23">
        <v>22</v>
      </c>
      <c r="V134" s="23">
        <v>22</v>
      </c>
      <c r="W134" s="9" t="s">
        <v>394</v>
      </c>
      <c r="X134" s="9">
        <v>7.3</v>
      </c>
      <c r="Y134" s="23">
        <v>0.22900000000000001</v>
      </c>
      <c r="Z134" s="9">
        <v>32.4</v>
      </c>
      <c r="AA134" s="16" t="s">
        <v>406</v>
      </c>
      <c r="AB134" s="9">
        <v>428</v>
      </c>
      <c r="AC134" s="9">
        <v>32.4</v>
      </c>
      <c r="AD134" s="15">
        <f t="shared" si="81"/>
        <v>37.711344486352324</v>
      </c>
      <c r="AE134" s="15">
        <f t="shared" si="79"/>
        <v>37.711344486352324</v>
      </c>
      <c r="AG134" s="16">
        <f t="shared" si="82"/>
        <v>2.4434305526939717</v>
      </c>
      <c r="AH134" s="26">
        <f t="shared" si="83"/>
        <v>0.40926065973001091</v>
      </c>
      <c r="AJ134" s="85" t="str">
        <f t="shared" si="84"/>
        <v>LC50</v>
      </c>
      <c r="AK134" s="9">
        <f t="shared" ref="AK134:AK149" si="89">VLOOKUP(AJ134,$BG$5:$BH$16,2,FALSE)</f>
        <v>5</v>
      </c>
      <c r="AL134" s="18">
        <f t="shared" si="85"/>
        <v>7.542268897270465</v>
      </c>
      <c r="AM134" s="88" t="str">
        <f t="shared" si="86"/>
        <v>Chronic</v>
      </c>
      <c r="AN134" s="9">
        <f t="shared" ref="AN134:AN149" si="90">VLOOKUP(AM134,$BG$18:$BI$19,2,FALSE)</f>
        <v>1</v>
      </c>
      <c r="AO134" s="18">
        <f t="shared" ref="AO134:AO149" si="91">AL134/AN134</f>
        <v>7.542268897270465</v>
      </c>
      <c r="AP134" s="16"/>
      <c r="AQ134" s="132" t="str">
        <f t="shared" si="87"/>
        <v>LC50</v>
      </c>
      <c r="AR134" s="67" t="s">
        <v>463</v>
      </c>
      <c r="AS134" s="88" t="str">
        <f t="shared" si="88"/>
        <v>Chronic</v>
      </c>
      <c r="AT134" s="67" t="str">
        <f t="shared" si="61"/>
        <v>y</v>
      </c>
      <c r="AU134" s="76" t="s">
        <v>507</v>
      </c>
      <c r="AV134" s="67"/>
      <c r="AW134" s="70"/>
      <c r="AX134" s="67"/>
      <c r="AY134" s="67"/>
      <c r="AZ134" s="82"/>
      <c r="BA134" s="81"/>
      <c r="BB134" s="73"/>
      <c r="BC134" s="133"/>
    </row>
    <row r="135" spans="1:55" ht="16" x14ac:dyDescent="0.25">
      <c r="A135" s="19" t="s">
        <v>396</v>
      </c>
      <c r="B135" s="23">
        <v>228</v>
      </c>
      <c r="C135" s="10" t="s">
        <v>24</v>
      </c>
      <c r="D135" s="11" t="s">
        <v>389</v>
      </c>
      <c r="E135" s="9" t="s">
        <v>178</v>
      </c>
      <c r="F135" s="9" t="s">
        <v>390</v>
      </c>
      <c r="G135" s="9" t="s">
        <v>72</v>
      </c>
      <c r="H135" s="9" t="s">
        <v>572</v>
      </c>
      <c r="I135" s="9" t="s">
        <v>224</v>
      </c>
      <c r="J135" s="12" t="s">
        <v>208</v>
      </c>
      <c r="K135" s="12" t="s">
        <v>209</v>
      </c>
      <c r="L135" s="12" t="s">
        <v>392</v>
      </c>
      <c r="M135" s="9">
        <v>10</v>
      </c>
      <c r="N135" s="9" t="s">
        <v>55</v>
      </c>
      <c r="O135" s="9" t="s">
        <v>33</v>
      </c>
      <c r="P135" s="25" t="s">
        <v>393</v>
      </c>
      <c r="Q135" s="25" t="s">
        <v>951</v>
      </c>
      <c r="R135" s="435" t="s">
        <v>950</v>
      </c>
      <c r="S135" s="23" t="s">
        <v>37</v>
      </c>
      <c r="T135" s="23" t="s">
        <v>949</v>
      </c>
      <c r="U135" s="23">
        <v>22</v>
      </c>
      <c r="V135" s="23">
        <v>22</v>
      </c>
      <c r="W135" s="9" t="s">
        <v>394</v>
      </c>
      <c r="X135" s="9">
        <v>7.3</v>
      </c>
      <c r="Y135" s="23">
        <v>0.22900000000000001</v>
      </c>
      <c r="Z135" s="9">
        <v>3.3</v>
      </c>
      <c r="AA135" s="16" t="s">
        <v>398</v>
      </c>
      <c r="AB135" s="9">
        <v>24.7</v>
      </c>
      <c r="AC135" s="9">
        <v>3.3</v>
      </c>
      <c r="AD135" s="15">
        <f t="shared" si="81"/>
        <v>3.8409702717581071</v>
      </c>
      <c r="AE135" s="15">
        <f t="shared" si="79"/>
        <v>3.8409702717581071</v>
      </c>
      <c r="AG135" s="16">
        <f t="shared" si="82"/>
        <v>2.4434305526939717</v>
      </c>
      <c r="AH135" s="26">
        <f t="shared" si="83"/>
        <v>0.40926065973001091</v>
      </c>
      <c r="AJ135" s="85" t="str">
        <f t="shared" si="84"/>
        <v>NOAEL</v>
      </c>
      <c r="AK135" s="9">
        <f t="shared" si="89"/>
        <v>1</v>
      </c>
      <c r="AL135" s="18">
        <f t="shared" si="85"/>
        <v>3.8409702717581071</v>
      </c>
      <c r="AM135" s="88" t="str">
        <f t="shared" si="86"/>
        <v>Chronic</v>
      </c>
      <c r="AN135" s="9">
        <f t="shared" si="90"/>
        <v>1</v>
      </c>
      <c r="AO135" s="18">
        <f t="shared" si="91"/>
        <v>3.8409702717581071</v>
      </c>
      <c r="AP135" s="16"/>
      <c r="AQ135" s="132" t="str">
        <f t="shared" si="87"/>
        <v>NOAEL</v>
      </c>
      <c r="AR135" s="67" t="s">
        <v>356</v>
      </c>
      <c r="AS135" s="88" t="str">
        <f t="shared" si="88"/>
        <v>Chronic</v>
      </c>
      <c r="AT135" s="67" t="str">
        <f t="shared" si="61"/>
        <v>y</v>
      </c>
      <c r="AU135" s="69" t="str">
        <f>K135</f>
        <v>Biomass (Weight)</v>
      </c>
      <c r="AV135" s="67" t="s">
        <v>510</v>
      </c>
      <c r="AW135" s="70">
        <f>M135</f>
        <v>10</v>
      </c>
      <c r="AX135" s="67" t="s">
        <v>476</v>
      </c>
      <c r="AY135" s="67"/>
      <c r="AZ135" s="82">
        <f t="shared" si="80"/>
        <v>3.8409702717581071</v>
      </c>
      <c r="BA135" s="72">
        <f>GEOMEAN(AZ135:AZ137)</f>
        <v>7.4064754472442873</v>
      </c>
      <c r="BB135" s="73">
        <f>MIN(BA135)</f>
        <v>7.4064754472442873</v>
      </c>
      <c r="BC135" s="133"/>
    </row>
    <row r="136" spans="1:55" ht="16" x14ac:dyDescent="0.25">
      <c r="A136" s="19" t="s">
        <v>388</v>
      </c>
      <c r="B136" s="23">
        <v>228</v>
      </c>
      <c r="C136" s="10" t="s">
        <v>24</v>
      </c>
      <c r="D136" s="11" t="s">
        <v>389</v>
      </c>
      <c r="E136" s="9" t="s">
        <v>178</v>
      </c>
      <c r="F136" s="9" t="s">
        <v>390</v>
      </c>
      <c r="G136" s="9" t="s">
        <v>72</v>
      </c>
      <c r="H136" s="9" t="s">
        <v>572</v>
      </c>
      <c r="I136" s="9" t="s">
        <v>224</v>
      </c>
      <c r="J136" s="12" t="s">
        <v>208</v>
      </c>
      <c r="K136" s="12" t="s">
        <v>209</v>
      </c>
      <c r="L136" s="12" t="s">
        <v>392</v>
      </c>
      <c r="M136" s="9">
        <v>10</v>
      </c>
      <c r="N136" s="9" t="s">
        <v>55</v>
      </c>
      <c r="O136" s="9" t="s">
        <v>33</v>
      </c>
      <c r="P136" s="25" t="s">
        <v>393</v>
      </c>
      <c r="Q136" s="14" t="s">
        <v>900</v>
      </c>
      <c r="R136" s="435" t="s">
        <v>950</v>
      </c>
      <c r="S136" s="23" t="s">
        <v>37</v>
      </c>
      <c r="T136" s="23" t="s">
        <v>949</v>
      </c>
      <c r="U136" s="23">
        <v>22</v>
      </c>
      <c r="V136" s="23">
        <v>22</v>
      </c>
      <c r="W136" s="9" t="s">
        <v>394</v>
      </c>
      <c r="X136" s="9">
        <v>7.3</v>
      </c>
      <c r="Y136" s="23">
        <v>0.22900000000000001</v>
      </c>
      <c r="Z136" s="9">
        <v>12.8</v>
      </c>
      <c r="AA136" s="16" t="s">
        <v>395</v>
      </c>
      <c r="AB136" s="9">
        <v>189</v>
      </c>
      <c r="AC136" s="9">
        <v>12.8</v>
      </c>
      <c r="AD136" s="15">
        <f t="shared" si="81"/>
        <v>14.898308932879933</v>
      </c>
      <c r="AE136" s="15">
        <f t="shared" si="79"/>
        <v>14.898308932879933</v>
      </c>
      <c r="AG136" s="16">
        <f t="shared" si="82"/>
        <v>2.4434305526939717</v>
      </c>
      <c r="AH136" s="26">
        <f t="shared" si="83"/>
        <v>0.40926065973001091</v>
      </c>
      <c r="AJ136" s="85" t="str">
        <f t="shared" si="84"/>
        <v>NOAEL</v>
      </c>
      <c r="AK136" s="9">
        <f t="shared" si="89"/>
        <v>1</v>
      </c>
      <c r="AL136" s="18">
        <f t="shared" si="85"/>
        <v>14.898308932879933</v>
      </c>
      <c r="AM136" s="88" t="str">
        <f t="shared" si="86"/>
        <v>Chronic</v>
      </c>
      <c r="AN136" s="9">
        <f t="shared" si="90"/>
        <v>1</v>
      </c>
      <c r="AO136" s="18">
        <f t="shared" si="91"/>
        <v>14.898308932879933</v>
      </c>
      <c r="AP136" s="16"/>
      <c r="AQ136" s="132" t="str">
        <f t="shared" si="87"/>
        <v>NOAEL</v>
      </c>
      <c r="AR136" s="67" t="s">
        <v>356</v>
      </c>
      <c r="AS136" s="88" t="str">
        <f t="shared" si="88"/>
        <v>Chronic</v>
      </c>
      <c r="AT136" s="67" t="str">
        <f t="shared" si="61"/>
        <v>y</v>
      </c>
      <c r="AU136" s="69" t="str">
        <f>K136</f>
        <v>Biomass (Weight)</v>
      </c>
      <c r="AV136" s="67" t="s">
        <v>510</v>
      </c>
      <c r="AW136" s="70">
        <f>M136</f>
        <v>10</v>
      </c>
      <c r="AX136" s="67" t="s">
        <v>476</v>
      </c>
      <c r="AY136" s="67"/>
      <c r="AZ136" s="82">
        <f t="shared" si="80"/>
        <v>14.898308932879933</v>
      </c>
      <c r="BA136" s="81"/>
      <c r="BB136" s="73"/>
      <c r="BC136" s="133"/>
    </row>
    <row r="137" spans="1:55" ht="16" x14ac:dyDescent="0.25">
      <c r="A137" s="19" t="s">
        <v>407</v>
      </c>
      <c r="B137" s="23">
        <v>228</v>
      </c>
      <c r="C137" s="10" t="s">
        <v>24</v>
      </c>
      <c r="D137" s="11" t="s">
        <v>389</v>
      </c>
      <c r="E137" s="9" t="s">
        <v>178</v>
      </c>
      <c r="F137" s="9" t="s">
        <v>390</v>
      </c>
      <c r="G137" s="9" t="s">
        <v>72</v>
      </c>
      <c r="H137" s="9" t="s">
        <v>572</v>
      </c>
      <c r="I137" s="9" t="s">
        <v>224</v>
      </c>
      <c r="J137" s="12" t="s">
        <v>208</v>
      </c>
      <c r="K137" s="12" t="s">
        <v>209</v>
      </c>
      <c r="L137" s="12" t="s">
        <v>392</v>
      </c>
      <c r="M137" s="9">
        <v>10</v>
      </c>
      <c r="N137" s="9" t="s">
        <v>55</v>
      </c>
      <c r="O137" s="9" t="s">
        <v>33</v>
      </c>
      <c r="P137" s="25" t="s">
        <v>393</v>
      </c>
      <c r="Q137" s="25" t="s">
        <v>903</v>
      </c>
      <c r="R137" s="435" t="s">
        <v>950</v>
      </c>
      <c r="S137" s="23" t="s">
        <v>37</v>
      </c>
      <c r="T137" s="23" t="s">
        <v>949</v>
      </c>
      <c r="U137" s="23">
        <v>22</v>
      </c>
      <c r="V137" s="23">
        <v>22</v>
      </c>
      <c r="W137" s="9" t="s">
        <v>394</v>
      </c>
      <c r="X137" s="9">
        <v>7.3</v>
      </c>
      <c r="Y137" s="23">
        <v>0.22900000000000001</v>
      </c>
      <c r="Z137" s="9">
        <v>6.1</v>
      </c>
      <c r="AA137" s="16" t="s">
        <v>408</v>
      </c>
      <c r="AB137" s="9">
        <v>74.099999999999994</v>
      </c>
      <c r="AC137" s="9">
        <v>6.1</v>
      </c>
      <c r="AD137" s="15">
        <f t="shared" si="81"/>
        <v>7.0999753508255923</v>
      </c>
      <c r="AE137" s="15">
        <f t="shared" si="79"/>
        <v>7.0999753508255923</v>
      </c>
      <c r="AG137" s="16">
        <f t="shared" si="82"/>
        <v>2.4434305526939717</v>
      </c>
      <c r="AH137" s="26">
        <f t="shared" si="83"/>
        <v>0.40926065973001091</v>
      </c>
      <c r="AJ137" s="85" t="str">
        <f t="shared" si="84"/>
        <v>NOAEL</v>
      </c>
      <c r="AK137" s="9">
        <f t="shared" si="89"/>
        <v>1</v>
      </c>
      <c r="AL137" s="18">
        <f t="shared" si="85"/>
        <v>7.0999753508255923</v>
      </c>
      <c r="AM137" s="88" t="str">
        <f t="shared" si="86"/>
        <v>Chronic</v>
      </c>
      <c r="AN137" s="9">
        <f t="shared" si="90"/>
        <v>1</v>
      </c>
      <c r="AO137" s="18">
        <f t="shared" si="91"/>
        <v>7.0999753508255923</v>
      </c>
      <c r="AP137" s="16"/>
      <c r="AQ137" s="132" t="str">
        <f t="shared" si="87"/>
        <v>NOAEL</v>
      </c>
      <c r="AR137" s="67" t="s">
        <v>356</v>
      </c>
      <c r="AS137" s="88" t="str">
        <f t="shared" si="88"/>
        <v>Chronic</v>
      </c>
      <c r="AT137" s="67" t="str">
        <f t="shared" si="61"/>
        <v>y</v>
      </c>
      <c r="AU137" s="69" t="str">
        <f>K137</f>
        <v>Biomass (Weight)</v>
      </c>
      <c r="AV137" s="67" t="s">
        <v>510</v>
      </c>
      <c r="AW137" s="70">
        <f>M137</f>
        <v>10</v>
      </c>
      <c r="AX137" s="67" t="s">
        <v>476</v>
      </c>
      <c r="AY137" s="67"/>
      <c r="AZ137" s="82">
        <f t="shared" si="80"/>
        <v>7.0999753508255923</v>
      </c>
      <c r="BA137" s="81"/>
      <c r="BB137" s="73"/>
      <c r="BC137" s="133"/>
    </row>
    <row r="138" spans="1:55" ht="16" x14ac:dyDescent="0.25">
      <c r="A138" s="19" t="s">
        <v>409</v>
      </c>
      <c r="B138" s="23">
        <v>229</v>
      </c>
      <c r="C138" s="10" t="s">
        <v>24</v>
      </c>
      <c r="D138" s="91" t="s">
        <v>389</v>
      </c>
      <c r="E138" s="9" t="s">
        <v>178</v>
      </c>
      <c r="F138" s="9" t="s">
        <v>390</v>
      </c>
      <c r="G138" s="9" t="s">
        <v>72</v>
      </c>
      <c r="H138" s="9" t="s">
        <v>572</v>
      </c>
      <c r="I138" s="9" t="s">
        <v>410</v>
      </c>
      <c r="J138" s="12" t="s">
        <v>53</v>
      </c>
      <c r="K138" s="12" t="s">
        <v>53</v>
      </c>
      <c r="L138" s="24" t="s">
        <v>112</v>
      </c>
      <c r="M138" s="9">
        <v>10</v>
      </c>
      <c r="N138" s="9" t="s">
        <v>55</v>
      </c>
      <c r="O138" s="9" t="s">
        <v>33</v>
      </c>
      <c r="P138" s="14" t="s">
        <v>393</v>
      </c>
      <c r="Q138" s="25" t="s">
        <v>951</v>
      </c>
      <c r="R138" s="9" t="s">
        <v>952</v>
      </c>
      <c r="S138" s="9" t="s">
        <v>37</v>
      </c>
      <c r="T138" s="9" t="s">
        <v>953</v>
      </c>
      <c r="U138" s="9">
        <v>22</v>
      </c>
      <c r="V138" s="23">
        <v>22</v>
      </c>
      <c r="W138" s="9" t="s">
        <v>411</v>
      </c>
      <c r="X138" s="9">
        <v>7.3</v>
      </c>
      <c r="Y138" s="9" t="s">
        <v>412</v>
      </c>
      <c r="Z138" s="9">
        <v>55.2</v>
      </c>
      <c r="AA138" s="16" t="s">
        <v>413</v>
      </c>
      <c r="AB138" s="9">
        <v>371</v>
      </c>
      <c r="AC138" s="9">
        <v>55.2</v>
      </c>
      <c r="AD138" s="15">
        <f t="shared" si="81"/>
        <v>64.248957273044709</v>
      </c>
      <c r="AE138" s="15">
        <f t="shared" si="79"/>
        <v>64.248957273044709</v>
      </c>
      <c r="AG138" s="16">
        <f t="shared" si="82"/>
        <v>2.4434305526939717</v>
      </c>
      <c r="AH138" s="26">
        <f t="shared" si="83"/>
        <v>0.40926065973001091</v>
      </c>
      <c r="AJ138" s="85" t="str">
        <f t="shared" si="84"/>
        <v>LC50</v>
      </c>
      <c r="AK138" s="9">
        <f t="shared" si="89"/>
        <v>5</v>
      </c>
      <c r="AL138" s="18">
        <f t="shared" si="85"/>
        <v>12.849791454608942</v>
      </c>
      <c r="AM138" s="88" t="str">
        <f t="shared" si="86"/>
        <v>Chronic</v>
      </c>
      <c r="AN138" s="9">
        <f t="shared" si="90"/>
        <v>1</v>
      </c>
      <c r="AO138" s="18">
        <f t="shared" si="91"/>
        <v>12.849791454608942</v>
      </c>
      <c r="AQ138" s="132" t="str">
        <f t="shared" si="87"/>
        <v>LC50</v>
      </c>
      <c r="AR138" s="67" t="s">
        <v>463</v>
      </c>
      <c r="AS138" s="88" t="str">
        <f t="shared" si="88"/>
        <v>Chronic</v>
      </c>
      <c r="AT138" s="67" t="str">
        <f t="shared" si="61"/>
        <v>y</v>
      </c>
      <c r="AU138" s="76" t="s">
        <v>507</v>
      </c>
      <c r="AW138" s="70"/>
      <c r="AZ138" s="166"/>
      <c r="BB138" s="161"/>
      <c r="BC138" s="145"/>
    </row>
    <row r="139" spans="1:55" ht="16" x14ac:dyDescent="0.25">
      <c r="A139" s="19" t="s">
        <v>414</v>
      </c>
      <c r="B139" s="23">
        <v>229</v>
      </c>
      <c r="C139" s="10" t="s">
        <v>24</v>
      </c>
      <c r="D139" s="91" t="s">
        <v>389</v>
      </c>
      <c r="E139" s="9" t="s">
        <v>178</v>
      </c>
      <c r="F139" s="9" t="s">
        <v>390</v>
      </c>
      <c r="G139" s="9" t="s">
        <v>72</v>
      </c>
      <c r="H139" s="9" t="s">
        <v>572</v>
      </c>
      <c r="I139" s="9" t="s">
        <v>410</v>
      </c>
      <c r="J139" s="12" t="s">
        <v>53</v>
      </c>
      <c r="K139" s="12" t="s">
        <v>53</v>
      </c>
      <c r="L139" s="24" t="s">
        <v>112</v>
      </c>
      <c r="M139" s="9">
        <v>10</v>
      </c>
      <c r="N139" s="9" t="s">
        <v>55</v>
      </c>
      <c r="O139" s="9" t="s">
        <v>33</v>
      </c>
      <c r="P139" s="14" t="s">
        <v>393</v>
      </c>
      <c r="Q139" s="25" t="s">
        <v>903</v>
      </c>
      <c r="R139" s="9" t="s">
        <v>952</v>
      </c>
      <c r="S139" s="9" t="s">
        <v>37</v>
      </c>
      <c r="T139" s="9" t="s">
        <v>953</v>
      </c>
      <c r="U139" s="9">
        <v>22</v>
      </c>
      <c r="V139" s="23">
        <v>22</v>
      </c>
      <c r="W139" s="9" t="s">
        <v>411</v>
      </c>
      <c r="X139" s="9">
        <v>7.3</v>
      </c>
      <c r="Y139" s="9" t="s">
        <v>412</v>
      </c>
      <c r="Z139" s="9">
        <v>89.7</v>
      </c>
      <c r="AA139" s="16" t="s">
        <v>415</v>
      </c>
      <c r="AB139" s="9">
        <v>725</v>
      </c>
      <c r="AC139" s="9">
        <v>89.7</v>
      </c>
      <c r="AD139" s="15">
        <f t="shared" si="81"/>
        <v>104.40455556869766</v>
      </c>
      <c r="AE139" s="15">
        <f t="shared" si="79"/>
        <v>104.40455556869766</v>
      </c>
      <c r="AG139" s="16">
        <f t="shared" si="82"/>
        <v>2.4434305526939717</v>
      </c>
      <c r="AH139" s="26">
        <f t="shared" si="83"/>
        <v>0.40926065973001091</v>
      </c>
      <c r="AJ139" s="85" t="str">
        <f t="shared" si="84"/>
        <v>LC50</v>
      </c>
      <c r="AK139" s="9">
        <f t="shared" si="89"/>
        <v>5</v>
      </c>
      <c r="AL139" s="18">
        <f t="shared" si="85"/>
        <v>20.880911113739533</v>
      </c>
      <c r="AM139" s="88" t="str">
        <f t="shared" si="86"/>
        <v>Chronic</v>
      </c>
      <c r="AN139" s="9">
        <f t="shared" si="90"/>
        <v>1</v>
      </c>
      <c r="AO139" s="18">
        <f t="shared" si="91"/>
        <v>20.880911113739533</v>
      </c>
      <c r="AP139" s="16"/>
      <c r="AQ139" s="132" t="str">
        <f t="shared" si="87"/>
        <v>LC50</v>
      </c>
      <c r="AR139" s="67" t="s">
        <v>463</v>
      </c>
      <c r="AS139" s="88" t="str">
        <f t="shared" si="88"/>
        <v>Chronic</v>
      </c>
      <c r="AT139" s="67" t="str">
        <f t="shared" si="61"/>
        <v>y</v>
      </c>
      <c r="AU139" s="76" t="s">
        <v>507</v>
      </c>
      <c r="AV139" s="67"/>
      <c r="AW139" s="70"/>
      <c r="AX139" s="67"/>
      <c r="AY139" s="67"/>
      <c r="AZ139" s="82"/>
      <c r="BA139" s="81"/>
      <c r="BB139" s="73"/>
      <c r="BC139" s="133"/>
    </row>
    <row r="140" spans="1:55" ht="16" x14ac:dyDescent="0.25">
      <c r="A140" s="19" t="s">
        <v>416</v>
      </c>
      <c r="B140" s="23">
        <v>229</v>
      </c>
      <c r="C140" s="10" t="s">
        <v>24</v>
      </c>
      <c r="D140" s="11" t="s">
        <v>389</v>
      </c>
      <c r="E140" s="9" t="s">
        <v>178</v>
      </c>
      <c r="F140" s="9" t="s">
        <v>390</v>
      </c>
      <c r="G140" s="9" t="s">
        <v>72</v>
      </c>
      <c r="H140" s="9" t="s">
        <v>572</v>
      </c>
      <c r="I140" s="9" t="s">
        <v>410</v>
      </c>
      <c r="J140" s="12" t="s">
        <v>208</v>
      </c>
      <c r="K140" s="12" t="s">
        <v>397</v>
      </c>
      <c r="L140" s="12" t="s">
        <v>392</v>
      </c>
      <c r="M140" s="9">
        <v>10</v>
      </c>
      <c r="N140" s="9" t="s">
        <v>55</v>
      </c>
      <c r="O140" s="9" t="s">
        <v>33</v>
      </c>
      <c r="P140" s="14" t="s">
        <v>393</v>
      </c>
      <c r="Q140" s="25" t="s">
        <v>951</v>
      </c>
      <c r="R140" s="9" t="s">
        <v>952</v>
      </c>
      <c r="S140" s="9" t="s">
        <v>37</v>
      </c>
      <c r="T140" s="9" t="s">
        <v>953</v>
      </c>
      <c r="U140" s="23">
        <v>22</v>
      </c>
      <c r="V140" s="23">
        <v>22</v>
      </c>
      <c r="W140" s="9" t="s">
        <v>411</v>
      </c>
      <c r="X140" s="9">
        <v>7.3</v>
      </c>
      <c r="Y140" s="9" t="s">
        <v>412</v>
      </c>
      <c r="Z140" s="9">
        <v>24.6</v>
      </c>
      <c r="AA140" s="16" t="s">
        <v>395</v>
      </c>
      <c r="AB140" s="9">
        <v>189</v>
      </c>
      <c r="AC140" s="9">
        <v>24.6</v>
      </c>
      <c r="AD140" s="15">
        <f t="shared" si="81"/>
        <v>28.632687480378621</v>
      </c>
      <c r="AE140" s="15">
        <f t="shared" si="79"/>
        <v>28.632687480378621</v>
      </c>
      <c r="AG140" s="16">
        <f t="shared" si="82"/>
        <v>2.4434305526939717</v>
      </c>
      <c r="AH140" s="26">
        <f t="shared" si="83"/>
        <v>0.40926065973001091</v>
      </c>
      <c r="AJ140" s="85" t="str">
        <f t="shared" si="84"/>
        <v>NOAEL</v>
      </c>
      <c r="AK140" s="9">
        <f t="shared" si="89"/>
        <v>1</v>
      </c>
      <c r="AL140" s="18">
        <f t="shared" si="85"/>
        <v>28.632687480378621</v>
      </c>
      <c r="AM140" s="88" t="str">
        <f t="shared" si="86"/>
        <v>Chronic</v>
      </c>
      <c r="AN140" s="9">
        <f t="shared" si="90"/>
        <v>1</v>
      </c>
      <c r="AO140" s="18">
        <f t="shared" si="91"/>
        <v>28.632687480378621</v>
      </c>
      <c r="AP140" s="16"/>
      <c r="AQ140" s="132" t="str">
        <f t="shared" si="87"/>
        <v>NOAEL</v>
      </c>
      <c r="AR140" s="67" t="s">
        <v>356</v>
      </c>
      <c r="AS140" s="88" t="str">
        <f t="shared" si="88"/>
        <v>Chronic</v>
      </c>
      <c r="AT140" s="67" t="str">
        <f t="shared" ref="AT140:AT149" si="92">IF(AS140="chronic","y","n")</f>
        <v>y</v>
      </c>
      <c r="AU140" s="69" t="str">
        <f>K140</f>
        <v>Biomass (Length)</v>
      </c>
      <c r="AV140" s="67" t="s">
        <v>511</v>
      </c>
      <c r="AW140" s="70">
        <f>M140</f>
        <v>10</v>
      </c>
      <c r="AX140" s="67" t="s">
        <v>477</v>
      </c>
      <c r="AY140" s="67"/>
      <c r="AZ140" s="80">
        <f t="shared" si="80"/>
        <v>28.632687480378621</v>
      </c>
      <c r="BA140" s="81">
        <f>GEOMEAN(AZ140:AZ141)</f>
        <v>28.632687480378621</v>
      </c>
      <c r="BB140" s="78">
        <f>MIN(BA139:BA140)</f>
        <v>28.632687480378621</v>
      </c>
      <c r="BC140" s="133"/>
    </row>
    <row r="141" spans="1:55" ht="16" x14ac:dyDescent="0.25">
      <c r="A141" s="19" t="s">
        <v>417</v>
      </c>
      <c r="B141" s="23">
        <v>229</v>
      </c>
      <c r="C141" s="10" t="s">
        <v>24</v>
      </c>
      <c r="D141" s="11" t="s">
        <v>389</v>
      </c>
      <c r="E141" s="9" t="s">
        <v>178</v>
      </c>
      <c r="F141" s="9" t="s">
        <v>390</v>
      </c>
      <c r="G141" s="9" t="s">
        <v>72</v>
      </c>
      <c r="H141" s="9" t="s">
        <v>572</v>
      </c>
      <c r="I141" s="9" t="s">
        <v>410</v>
      </c>
      <c r="J141" s="12" t="s">
        <v>208</v>
      </c>
      <c r="K141" s="12" t="s">
        <v>397</v>
      </c>
      <c r="L141" s="9" t="s">
        <v>392</v>
      </c>
      <c r="M141" s="9">
        <v>10</v>
      </c>
      <c r="N141" s="9" t="s">
        <v>55</v>
      </c>
      <c r="O141" s="9" t="s">
        <v>33</v>
      </c>
      <c r="P141" s="14" t="s">
        <v>393</v>
      </c>
      <c r="Q141" s="25" t="s">
        <v>903</v>
      </c>
      <c r="R141" s="9" t="s">
        <v>952</v>
      </c>
      <c r="S141" s="9" t="s">
        <v>37</v>
      </c>
      <c r="T141" s="9" t="s">
        <v>953</v>
      </c>
      <c r="U141" s="23">
        <v>22</v>
      </c>
      <c r="V141" s="23">
        <v>22</v>
      </c>
      <c r="W141" s="9" t="s">
        <v>411</v>
      </c>
      <c r="X141" s="9">
        <v>7.3</v>
      </c>
      <c r="Y141" s="9" t="s">
        <v>412</v>
      </c>
      <c r="Z141" s="9">
        <v>24.6</v>
      </c>
      <c r="AA141" s="16" t="s">
        <v>418</v>
      </c>
      <c r="AB141" s="9">
        <v>165</v>
      </c>
      <c r="AC141" s="9">
        <v>24.6</v>
      </c>
      <c r="AD141" s="15">
        <f t="shared" si="81"/>
        <v>28.632687480378621</v>
      </c>
      <c r="AE141" s="15">
        <f t="shared" si="79"/>
        <v>28.632687480378621</v>
      </c>
      <c r="AG141" s="16">
        <f t="shared" si="82"/>
        <v>2.4434305526939717</v>
      </c>
      <c r="AH141" s="26">
        <f t="shared" si="83"/>
        <v>0.40926065973001091</v>
      </c>
      <c r="AJ141" s="85" t="str">
        <f t="shared" si="84"/>
        <v>NOAEL</v>
      </c>
      <c r="AK141" s="9">
        <f t="shared" si="89"/>
        <v>1</v>
      </c>
      <c r="AL141" s="18">
        <f t="shared" si="85"/>
        <v>28.632687480378621</v>
      </c>
      <c r="AM141" s="88" t="str">
        <f t="shared" si="86"/>
        <v>Chronic</v>
      </c>
      <c r="AN141" s="9">
        <f t="shared" si="90"/>
        <v>1</v>
      </c>
      <c r="AO141" s="18">
        <f t="shared" si="91"/>
        <v>28.632687480378621</v>
      </c>
      <c r="AP141" s="16"/>
      <c r="AQ141" s="132" t="str">
        <f t="shared" si="87"/>
        <v>NOAEL</v>
      </c>
      <c r="AR141" s="67" t="s">
        <v>356</v>
      </c>
      <c r="AS141" s="88" t="str">
        <f t="shared" si="88"/>
        <v>Chronic</v>
      </c>
      <c r="AT141" s="67" t="str">
        <f t="shared" si="92"/>
        <v>y</v>
      </c>
      <c r="AU141" s="69" t="str">
        <f>K141</f>
        <v>Biomass (Length)</v>
      </c>
      <c r="AV141" s="67" t="s">
        <v>511</v>
      </c>
      <c r="AW141" s="70">
        <f>M141</f>
        <v>10</v>
      </c>
      <c r="AX141" s="67" t="s">
        <v>477</v>
      </c>
      <c r="AY141" s="67"/>
      <c r="AZ141" s="80">
        <f t="shared" si="80"/>
        <v>28.632687480378621</v>
      </c>
      <c r="BA141" s="81"/>
      <c r="BB141" s="73"/>
      <c r="BC141" s="133"/>
    </row>
    <row r="142" spans="1:55" ht="16" x14ac:dyDescent="0.25">
      <c r="A142" s="19" t="s">
        <v>416</v>
      </c>
      <c r="B142" s="23">
        <v>229</v>
      </c>
      <c r="C142" s="10" t="s">
        <v>24</v>
      </c>
      <c r="D142" s="11" t="s">
        <v>389</v>
      </c>
      <c r="E142" s="9" t="s">
        <v>178</v>
      </c>
      <c r="F142" s="9" t="s">
        <v>390</v>
      </c>
      <c r="G142" s="9" t="s">
        <v>72</v>
      </c>
      <c r="H142" s="9" t="s">
        <v>572</v>
      </c>
      <c r="I142" s="9" t="s">
        <v>410</v>
      </c>
      <c r="J142" s="12" t="s">
        <v>208</v>
      </c>
      <c r="K142" s="12" t="s">
        <v>209</v>
      </c>
      <c r="L142" s="12" t="s">
        <v>392</v>
      </c>
      <c r="M142" s="9">
        <v>10</v>
      </c>
      <c r="N142" s="9" t="s">
        <v>55</v>
      </c>
      <c r="O142" s="9" t="s">
        <v>33</v>
      </c>
      <c r="P142" s="14" t="s">
        <v>393</v>
      </c>
      <c r="Q142" s="25" t="s">
        <v>951</v>
      </c>
      <c r="R142" s="9" t="s">
        <v>952</v>
      </c>
      <c r="S142" s="9" t="s">
        <v>37</v>
      </c>
      <c r="T142" s="9" t="s">
        <v>953</v>
      </c>
      <c r="U142" s="23">
        <v>22</v>
      </c>
      <c r="V142" s="23">
        <v>22</v>
      </c>
      <c r="W142" s="9" t="s">
        <v>411</v>
      </c>
      <c r="X142" s="9">
        <v>7.3</v>
      </c>
      <c r="Y142" s="9" t="s">
        <v>412</v>
      </c>
      <c r="Z142" s="9">
        <v>24.6</v>
      </c>
      <c r="AA142" s="16" t="s">
        <v>395</v>
      </c>
      <c r="AB142" s="9">
        <v>189</v>
      </c>
      <c r="AC142" s="9">
        <v>24.6</v>
      </c>
      <c r="AD142" s="15">
        <f t="shared" si="81"/>
        <v>28.632687480378621</v>
      </c>
      <c r="AE142" s="15">
        <f t="shared" si="79"/>
        <v>28.632687480378621</v>
      </c>
      <c r="AG142" s="16">
        <f t="shared" si="82"/>
        <v>2.4434305526939717</v>
      </c>
      <c r="AH142" s="26">
        <f t="shared" si="83"/>
        <v>0.40926065973001091</v>
      </c>
      <c r="AJ142" s="85" t="str">
        <f t="shared" si="84"/>
        <v>NOAEL</v>
      </c>
      <c r="AK142" s="9">
        <f t="shared" si="89"/>
        <v>1</v>
      </c>
      <c r="AL142" s="18">
        <f t="shared" si="85"/>
        <v>28.632687480378621</v>
      </c>
      <c r="AM142" s="88" t="str">
        <f t="shared" si="86"/>
        <v>Chronic</v>
      </c>
      <c r="AN142" s="9">
        <f t="shared" si="90"/>
        <v>1</v>
      </c>
      <c r="AO142" s="18">
        <f t="shared" si="91"/>
        <v>28.632687480378621</v>
      </c>
      <c r="AP142" s="16"/>
      <c r="AQ142" s="132" t="str">
        <f t="shared" si="87"/>
        <v>NOAEL</v>
      </c>
      <c r="AR142" s="67" t="s">
        <v>356</v>
      </c>
      <c r="AS142" s="88" t="str">
        <f t="shared" si="88"/>
        <v>Chronic</v>
      </c>
      <c r="AT142" s="67" t="str">
        <f t="shared" si="92"/>
        <v>y</v>
      </c>
      <c r="AU142" s="69" t="str">
        <f>K142</f>
        <v>Biomass (Weight)</v>
      </c>
      <c r="AV142" s="67" t="s">
        <v>512</v>
      </c>
      <c r="AW142" s="70">
        <f>M142</f>
        <v>10</v>
      </c>
      <c r="AX142" s="67" t="s">
        <v>492</v>
      </c>
      <c r="AY142" s="67"/>
      <c r="AZ142" s="80">
        <f t="shared" si="80"/>
        <v>28.632687480378621</v>
      </c>
      <c r="BA142" s="72">
        <f>GEOMEAN(AZ142:AZ143)</f>
        <v>20.246367480970886</v>
      </c>
      <c r="BB142" s="73">
        <f>MIN(BA142)</f>
        <v>20.246367480970886</v>
      </c>
      <c r="BC142" s="133"/>
    </row>
    <row r="143" spans="1:55" ht="16" x14ac:dyDescent="0.25">
      <c r="A143" s="19" t="s">
        <v>419</v>
      </c>
      <c r="B143" s="23">
        <v>229</v>
      </c>
      <c r="C143" s="10" t="s">
        <v>24</v>
      </c>
      <c r="D143" s="11" t="s">
        <v>389</v>
      </c>
      <c r="E143" s="9" t="s">
        <v>178</v>
      </c>
      <c r="F143" s="9" t="s">
        <v>390</v>
      </c>
      <c r="G143" s="9" t="s">
        <v>72</v>
      </c>
      <c r="H143" s="9" t="s">
        <v>572</v>
      </c>
      <c r="I143" s="9" t="s">
        <v>410</v>
      </c>
      <c r="J143" s="12" t="s">
        <v>208</v>
      </c>
      <c r="K143" s="12" t="s">
        <v>209</v>
      </c>
      <c r="L143" s="9" t="s">
        <v>392</v>
      </c>
      <c r="M143" s="9">
        <v>10</v>
      </c>
      <c r="N143" s="9" t="s">
        <v>55</v>
      </c>
      <c r="O143" s="9" t="s">
        <v>33</v>
      </c>
      <c r="P143" s="14" t="s">
        <v>393</v>
      </c>
      <c r="Q143" s="25" t="s">
        <v>903</v>
      </c>
      <c r="R143" s="9" t="s">
        <v>952</v>
      </c>
      <c r="S143" s="9" t="s">
        <v>37</v>
      </c>
      <c r="T143" s="9" t="s">
        <v>953</v>
      </c>
      <c r="U143" s="23">
        <v>22</v>
      </c>
      <c r="V143" s="23">
        <v>22</v>
      </c>
      <c r="W143" s="9" t="s">
        <v>411</v>
      </c>
      <c r="X143" s="9">
        <v>7.3</v>
      </c>
      <c r="Y143" s="9" t="s">
        <v>412</v>
      </c>
      <c r="Z143" s="9">
        <v>12.3</v>
      </c>
      <c r="AA143" s="16" t="s">
        <v>420</v>
      </c>
      <c r="AB143" s="9">
        <v>90.6</v>
      </c>
      <c r="AC143" s="9">
        <v>12.3</v>
      </c>
      <c r="AD143" s="15">
        <f t="shared" si="81"/>
        <v>14.316343740189311</v>
      </c>
      <c r="AE143" s="15">
        <f t="shared" si="79"/>
        <v>14.316343740189311</v>
      </c>
      <c r="AG143" s="16">
        <f t="shared" si="82"/>
        <v>2.4434305526939717</v>
      </c>
      <c r="AH143" s="26">
        <f t="shared" si="83"/>
        <v>0.40926065973001091</v>
      </c>
      <c r="AJ143" s="85" t="str">
        <f t="shared" si="84"/>
        <v>NOAEL</v>
      </c>
      <c r="AK143" s="9">
        <f t="shared" si="89"/>
        <v>1</v>
      </c>
      <c r="AL143" s="18">
        <f t="shared" si="85"/>
        <v>14.316343740189311</v>
      </c>
      <c r="AM143" s="88" t="str">
        <f t="shared" si="86"/>
        <v>Chronic</v>
      </c>
      <c r="AN143" s="9">
        <f t="shared" si="90"/>
        <v>1</v>
      </c>
      <c r="AO143" s="18">
        <f t="shared" si="91"/>
        <v>14.316343740189311</v>
      </c>
      <c r="AP143" s="16"/>
      <c r="AQ143" s="132" t="str">
        <f t="shared" si="87"/>
        <v>NOAEL</v>
      </c>
      <c r="AR143" s="67" t="s">
        <v>356</v>
      </c>
      <c r="AS143" s="88" t="str">
        <f t="shared" si="88"/>
        <v>Chronic</v>
      </c>
      <c r="AT143" s="67" t="str">
        <f t="shared" si="92"/>
        <v>y</v>
      </c>
      <c r="AU143" s="69" t="str">
        <f>K143</f>
        <v>Biomass (Weight)</v>
      </c>
      <c r="AV143" s="67" t="s">
        <v>512</v>
      </c>
      <c r="AW143" s="70">
        <f>M143</f>
        <v>10</v>
      </c>
      <c r="AX143" s="67" t="s">
        <v>492</v>
      </c>
      <c r="AY143" s="67"/>
      <c r="AZ143" s="82">
        <f t="shared" si="80"/>
        <v>14.316343740189311</v>
      </c>
      <c r="BA143" s="81"/>
      <c r="BB143" s="78"/>
      <c r="BC143" s="133"/>
    </row>
    <row r="144" spans="1:55" ht="16" x14ac:dyDescent="0.25">
      <c r="A144" s="32" t="s">
        <v>421</v>
      </c>
      <c r="B144" s="44">
        <v>229</v>
      </c>
      <c r="C144" s="34" t="s">
        <v>24</v>
      </c>
      <c r="D144" s="35" t="s">
        <v>422</v>
      </c>
      <c r="E144" s="33" t="s">
        <v>178</v>
      </c>
      <c r="F144" s="33" t="s">
        <v>390</v>
      </c>
      <c r="G144" s="33" t="s">
        <v>72</v>
      </c>
      <c r="H144" s="33" t="s">
        <v>572</v>
      </c>
      <c r="I144" s="33" t="s">
        <v>410</v>
      </c>
      <c r="J144" s="36" t="s">
        <v>53</v>
      </c>
      <c r="K144" s="36" t="s">
        <v>53</v>
      </c>
      <c r="L144" s="36" t="s">
        <v>112</v>
      </c>
      <c r="M144" s="33">
        <v>10</v>
      </c>
      <c r="N144" s="33" t="s">
        <v>55</v>
      </c>
      <c r="O144" s="33" t="s">
        <v>33</v>
      </c>
      <c r="P144" s="38" t="s">
        <v>393</v>
      </c>
      <c r="Q144" s="45" t="s">
        <v>951</v>
      </c>
      <c r="R144" s="33" t="s">
        <v>954</v>
      </c>
      <c r="S144" s="33" t="s">
        <v>37</v>
      </c>
      <c r="T144" s="33" t="s">
        <v>955</v>
      </c>
      <c r="U144" s="44">
        <v>22</v>
      </c>
      <c r="V144" s="44">
        <v>22</v>
      </c>
      <c r="W144" s="33" t="s">
        <v>423</v>
      </c>
      <c r="X144" s="33">
        <v>7.2</v>
      </c>
      <c r="Y144" s="33" t="s">
        <v>424</v>
      </c>
      <c r="Z144" s="33">
        <v>52.9</v>
      </c>
      <c r="AA144" s="41" t="s">
        <v>425</v>
      </c>
      <c r="AB144" s="33">
        <v>231</v>
      </c>
      <c r="AC144" s="33">
        <v>52.9</v>
      </c>
      <c r="AD144" s="40">
        <f t="shared" si="81"/>
        <v>58.006410984311614</v>
      </c>
      <c r="AE144" s="40">
        <f>AD144</f>
        <v>58.006410984311614</v>
      </c>
      <c r="AG144" s="16">
        <f t="shared" si="82"/>
        <v>3.0760968147407053</v>
      </c>
      <c r="AH144" s="26">
        <f t="shared" si="83"/>
        <v>0.32508729738543468</v>
      </c>
      <c r="AJ144" s="85" t="str">
        <f t="shared" si="84"/>
        <v>LC50</v>
      </c>
      <c r="AK144" s="9">
        <f t="shared" si="89"/>
        <v>5</v>
      </c>
      <c r="AL144" s="18">
        <f t="shared" si="85"/>
        <v>11.601282196862323</v>
      </c>
      <c r="AM144" s="88" t="str">
        <f t="shared" si="86"/>
        <v>Chronic</v>
      </c>
      <c r="AN144" s="9">
        <f t="shared" si="90"/>
        <v>1</v>
      </c>
      <c r="AO144" s="18">
        <f t="shared" si="91"/>
        <v>11.601282196862323</v>
      </c>
      <c r="AP144" s="16"/>
      <c r="AQ144" s="101" t="str">
        <f t="shared" si="87"/>
        <v>LC50</v>
      </c>
      <c r="AR144" s="102" t="s">
        <v>463</v>
      </c>
      <c r="AS144" s="103" t="str">
        <f t="shared" si="88"/>
        <v>Chronic</v>
      </c>
      <c r="AT144" s="102" t="str">
        <f t="shared" si="92"/>
        <v>y</v>
      </c>
      <c r="AU144" s="139" t="s">
        <v>507</v>
      </c>
      <c r="AV144" s="102"/>
      <c r="AW144" s="105"/>
      <c r="AX144" s="102"/>
      <c r="AY144" s="102"/>
      <c r="AZ144" s="106"/>
      <c r="BA144" s="107"/>
      <c r="BB144" s="108"/>
      <c r="BC144" s="109"/>
    </row>
    <row r="145" spans="1:56" ht="16" x14ac:dyDescent="0.25">
      <c r="A145" s="32" t="s">
        <v>426</v>
      </c>
      <c r="B145" s="44">
        <v>229</v>
      </c>
      <c r="C145" s="34" t="s">
        <v>24</v>
      </c>
      <c r="D145" s="35" t="s">
        <v>422</v>
      </c>
      <c r="E145" s="33" t="s">
        <v>178</v>
      </c>
      <c r="F145" s="33" t="s">
        <v>390</v>
      </c>
      <c r="G145" s="33" t="s">
        <v>72</v>
      </c>
      <c r="H145" s="33" t="s">
        <v>572</v>
      </c>
      <c r="I145" s="33" t="s">
        <v>410</v>
      </c>
      <c r="J145" s="36" t="s">
        <v>53</v>
      </c>
      <c r="K145" s="36" t="s">
        <v>53</v>
      </c>
      <c r="L145" s="36" t="s">
        <v>112</v>
      </c>
      <c r="M145" s="33">
        <v>10</v>
      </c>
      <c r="N145" s="33" t="s">
        <v>55</v>
      </c>
      <c r="O145" s="33" t="s">
        <v>33</v>
      </c>
      <c r="P145" s="38" t="s">
        <v>393</v>
      </c>
      <c r="Q145" s="45" t="s">
        <v>903</v>
      </c>
      <c r="R145" s="33" t="s">
        <v>954</v>
      </c>
      <c r="S145" s="33" t="s">
        <v>37</v>
      </c>
      <c r="T145" s="33" t="s">
        <v>955</v>
      </c>
      <c r="U145" s="33">
        <v>22</v>
      </c>
      <c r="V145" s="44">
        <v>22</v>
      </c>
      <c r="W145" s="33" t="s">
        <v>423</v>
      </c>
      <c r="X145" s="33">
        <v>7.2</v>
      </c>
      <c r="Y145" s="33" t="s">
        <v>424</v>
      </c>
      <c r="Z145" s="33">
        <v>45.5</v>
      </c>
      <c r="AA145" s="41" t="s">
        <v>427</v>
      </c>
      <c r="AB145" s="33">
        <v>346</v>
      </c>
      <c r="AC145" s="33">
        <v>45.5</v>
      </c>
      <c r="AD145" s="40">
        <f t="shared" si="81"/>
        <v>49.892092623557254</v>
      </c>
      <c r="AE145" s="40">
        <f t="shared" ref="AE145:AE149" si="93">AD145</f>
        <v>49.892092623557254</v>
      </c>
      <c r="AG145" s="16">
        <f t="shared" si="82"/>
        <v>3.0760968147407053</v>
      </c>
      <c r="AH145" s="26">
        <f t="shared" si="83"/>
        <v>0.32508729738543468</v>
      </c>
      <c r="AJ145" s="85" t="str">
        <f t="shared" si="84"/>
        <v>LC50</v>
      </c>
      <c r="AK145" s="9">
        <f t="shared" si="89"/>
        <v>5</v>
      </c>
      <c r="AL145" s="18">
        <f t="shared" si="85"/>
        <v>9.9784185247114507</v>
      </c>
      <c r="AM145" s="88" t="str">
        <f t="shared" si="86"/>
        <v>Chronic</v>
      </c>
      <c r="AN145" s="9">
        <f t="shared" si="90"/>
        <v>1</v>
      </c>
      <c r="AO145" s="18">
        <f t="shared" si="91"/>
        <v>9.9784185247114507</v>
      </c>
      <c r="AP145" s="16"/>
      <c r="AQ145" s="132" t="str">
        <f t="shared" si="87"/>
        <v>LC50</v>
      </c>
      <c r="AR145" s="67" t="s">
        <v>463</v>
      </c>
      <c r="AS145" s="88" t="str">
        <f t="shared" si="88"/>
        <v>Chronic</v>
      </c>
      <c r="AT145" s="67" t="str">
        <f t="shared" si="92"/>
        <v>y</v>
      </c>
      <c r="AU145" s="76" t="s">
        <v>507</v>
      </c>
      <c r="AV145" s="67"/>
      <c r="AW145" s="70"/>
      <c r="AX145" s="67"/>
      <c r="AY145" s="67"/>
      <c r="AZ145" s="80"/>
      <c r="BA145" s="81"/>
      <c r="BB145" s="78"/>
      <c r="BC145" s="133"/>
    </row>
    <row r="146" spans="1:56" ht="16" x14ac:dyDescent="0.25">
      <c r="A146" s="32" t="s">
        <v>428</v>
      </c>
      <c r="B146" s="44">
        <v>229</v>
      </c>
      <c r="C146" s="34" t="s">
        <v>24</v>
      </c>
      <c r="D146" s="35" t="s">
        <v>422</v>
      </c>
      <c r="E146" s="33" t="s">
        <v>178</v>
      </c>
      <c r="F146" s="33" t="s">
        <v>390</v>
      </c>
      <c r="G146" s="33" t="s">
        <v>72</v>
      </c>
      <c r="H146" s="33" t="s">
        <v>572</v>
      </c>
      <c r="I146" s="33" t="s">
        <v>410</v>
      </c>
      <c r="J146" s="36" t="s">
        <v>53</v>
      </c>
      <c r="K146" s="36" t="s">
        <v>53</v>
      </c>
      <c r="L146" s="36" t="s">
        <v>112</v>
      </c>
      <c r="M146" s="33">
        <v>10</v>
      </c>
      <c r="N146" s="33" t="s">
        <v>55</v>
      </c>
      <c r="O146" s="33" t="s">
        <v>33</v>
      </c>
      <c r="P146" s="38" t="s">
        <v>393</v>
      </c>
      <c r="Q146" s="38" t="s">
        <v>900</v>
      </c>
      <c r="R146" s="33" t="s">
        <v>954</v>
      </c>
      <c r="S146" s="33" t="s">
        <v>37</v>
      </c>
      <c r="T146" s="33" t="s">
        <v>955</v>
      </c>
      <c r="U146" s="33">
        <v>22</v>
      </c>
      <c r="V146" s="44">
        <v>22</v>
      </c>
      <c r="W146" s="33" t="s">
        <v>423</v>
      </c>
      <c r="X146" s="33">
        <v>7.2</v>
      </c>
      <c r="Y146" s="33" t="s">
        <v>424</v>
      </c>
      <c r="Z146" s="33">
        <v>64</v>
      </c>
      <c r="AA146" s="41" t="s">
        <v>429</v>
      </c>
      <c r="AB146" s="33">
        <v>272</v>
      </c>
      <c r="AC146" s="33">
        <v>64</v>
      </c>
      <c r="AD146" s="40">
        <f t="shared" si="81"/>
        <v>70.177888525443166</v>
      </c>
      <c r="AE146" s="40">
        <f t="shared" si="93"/>
        <v>70.177888525443166</v>
      </c>
      <c r="AG146" s="16">
        <f t="shared" si="82"/>
        <v>3.0760968147407053</v>
      </c>
      <c r="AH146" s="26">
        <f t="shared" si="83"/>
        <v>0.32508729738543468</v>
      </c>
      <c r="AJ146" s="85" t="str">
        <f t="shared" si="84"/>
        <v>LC50</v>
      </c>
      <c r="AK146" s="9">
        <f t="shared" si="89"/>
        <v>5</v>
      </c>
      <c r="AL146" s="18">
        <f t="shared" si="85"/>
        <v>14.035577705088633</v>
      </c>
      <c r="AM146" s="88" t="str">
        <f t="shared" si="86"/>
        <v>Chronic</v>
      </c>
      <c r="AN146" s="9">
        <f t="shared" si="90"/>
        <v>1</v>
      </c>
      <c r="AO146" s="18">
        <f t="shared" si="91"/>
        <v>14.035577705088633</v>
      </c>
      <c r="AP146" s="16"/>
      <c r="AQ146" s="132" t="str">
        <f t="shared" si="87"/>
        <v>LC50</v>
      </c>
      <c r="AR146" s="67" t="s">
        <v>463</v>
      </c>
      <c r="AS146" s="88" t="str">
        <f t="shared" si="88"/>
        <v>Chronic</v>
      </c>
      <c r="AT146" s="67" t="str">
        <f t="shared" si="92"/>
        <v>y</v>
      </c>
      <c r="AU146" s="76" t="s">
        <v>507</v>
      </c>
      <c r="AV146" s="67"/>
      <c r="AW146" s="70"/>
      <c r="AX146" s="67"/>
      <c r="AY146" s="67"/>
      <c r="AZ146" s="80"/>
      <c r="BA146" s="81"/>
      <c r="BB146" s="78"/>
      <c r="BC146" s="133"/>
    </row>
    <row r="147" spans="1:56" ht="16" x14ac:dyDescent="0.25">
      <c r="A147" s="32" t="s">
        <v>430</v>
      </c>
      <c r="B147" s="44">
        <v>229</v>
      </c>
      <c r="C147" s="34" t="s">
        <v>24</v>
      </c>
      <c r="D147" s="35" t="s">
        <v>422</v>
      </c>
      <c r="E147" s="33" t="s">
        <v>178</v>
      </c>
      <c r="F147" s="33" t="s">
        <v>390</v>
      </c>
      <c r="G147" s="33" t="s">
        <v>72</v>
      </c>
      <c r="H147" s="33" t="s">
        <v>572</v>
      </c>
      <c r="I147" s="33" t="s">
        <v>410</v>
      </c>
      <c r="J147" s="36" t="s">
        <v>431</v>
      </c>
      <c r="K147" s="36" t="s">
        <v>432</v>
      </c>
      <c r="L147" s="36" t="s">
        <v>392</v>
      </c>
      <c r="M147" s="33">
        <v>10</v>
      </c>
      <c r="N147" s="33" t="s">
        <v>55</v>
      </c>
      <c r="O147" s="33" t="s">
        <v>33</v>
      </c>
      <c r="P147" s="38" t="s">
        <v>393</v>
      </c>
      <c r="Q147" s="45" t="s">
        <v>951</v>
      </c>
      <c r="R147" s="33" t="s">
        <v>954</v>
      </c>
      <c r="S147" s="33" t="s">
        <v>37</v>
      </c>
      <c r="T147" s="33" t="s">
        <v>955</v>
      </c>
      <c r="U147" s="44">
        <v>22</v>
      </c>
      <c r="V147" s="44">
        <v>22</v>
      </c>
      <c r="W147" s="33" t="s">
        <v>423</v>
      </c>
      <c r="X147" s="33">
        <v>7.2</v>
      </c>
      <c r="Y147" s="33" t="s">
        <v>424</v>
      </c>
      <c r="Z147" s="33">
        <v>49</v>
      </c>
      <c r="AA147" s="41" t="s">
        <v>433</v>
      </c>
      <c r="AB147" s="33">
        <v>214</v>
      </c>
      <c r="AC147" s="33">
        <v>49</v>
      </c>
      <c r="AD147" s="40">
        <f t="shared" si="81"/>
        <v>53.729945902292428</v>
      </c>
      <c r="AE147" s="40">
        <f t="shared" si="93"/>
        <v>53.729945902292428</v>
      </c>
      <c r="AG147" s="16">
        <f t="shared" si="82"/>
        <v>3.0760968147407053</v>
      </c>
      <c r="AH147" s="26">
        <f t="shared" si="83"/>
        <v>0.32508729738543468</v>
      </c>
      <c r="AJ147" s="85" t="str">
        <f t="shared" si="84"/>
        <v>NOAEL</v>
      </c>
      <c r="AK147" s="9">
        <f t="shared" si="89"/>
        <v>1</v>
      </c>
      <c r="AL147" s="18">
        <f t="shared" si="85"/>
        <v>53.729945902292428</v>
      </c>
      <c r="AM147" s="88" t="str">
        <f t="shared" si="86"/>
        <v>Chronic</v>
      </c>
      <c r="AN147" s="9">
        <f t="shared" si="90"/>
        <v>1</v>
      </c>
      <c r="AO147" s="18">
        <f t="shared" si="91"/>
        <v>53.729945902292428</v>
      </c>
      <c r="AP147" s="16"/>
      <c r="AQ147" s="132" t="str">
        <f t="shared" si="87"/>
        <v>NOAEL</v>
      </c>
      <c r="AR147" s="67" t="s">
        <v>356</v>
      </c>
      <c r="AS147" s="88" t="str">
        <f t="shared" si="88"/>
        <v>Chronic</v>
      </c>
      <c r="AT147" s="67" t="str">
        <f t="shared" si="92"/>
        <v>y</v>
      </c>
      <c r="AU147" s="69" t="str">
        <f>K147</f>
        <v>Biomass (Length and weight)</v>
      </c>
      <c r="AV147" s="67" t="s">
        <v>459</v>
      </c>
      <c r="AW147" s="70">
        <f>M147</f>
        <v>10</v>
      </c>
      <c r="AX147" s="67" t="s">
        <v>460</v>
      </c>
      <c r="AY147" s="67"/>
      <c r="AZ147" s="80">
        <f>AO147</f>
        <v>53.729945902292428</v>
      </c>
      <c r="BA147" s="81">
        <f>GEOMEAN(AZ147:AZ149)</f>
        <v>86.159083470788417</v>
      </c>
      <c r="BB147" s="78">
        <f>MIN(BA147)</f>
        <v>86.159083470788417</v>
      </c>
      <c r="BC147" s="133">
        <f>MIN(BB147)</f>
        <v>86.159083470788417</v>
      </c>
      <c r="BD147" t="s">
        <v>516</v>
      </c>
    </row>
    <row r="148" spans="1:56" ht="16" x14ac:dyDescent="0.25">
      <c r="A148" s="32" t="s">
        <v>434</v>
      </c>
      <c r="B148" s="44">
        <v>229</v>
      </c>
      <c r="C148" s="34" t="s">
        <v>24</v>
      </c>
      <c r="D148" s="35" t="s">
        <v>422</v>
      </c>
      <c r="E148" s="33" t="s">
        <v>178</v>
      </c>
      <c r="F148" s="33" t="s">
        <v>390</v>
      </c>
      <c r="G148" s="33" t="s">
        <v>72</v>
      </c>
      <c r="H148" s="33" t="s">
        <v>572</v>
      </c>
      <c r="I148" s="33" t="s">
        <v>410</v>
      </c>
      <c r="J148" s="36" t="s">
        <v>431</v>
      </c>
      <c r="K148" s="36" t="s">
        <v>432</v>
      </c>
      <c r="L148" s="36" t="s">
        <v>392</v>
      </c>
      <c r="M148" s="33">
        <v>10</v>
      </c>
      <c r="N148" s="33" t="s">
        <v>55</v>
      </c>
      <c r="O148" s="33" t="s">
        <v>33</v>
      </c>
      <c r="P148" s="38" t="s">
        <v>393</v>
      </c>
      <c r="Q148" s="45" t="s">
        <v>903</v>
      </c>
      <c r="R148" s="33" t="s">
        <v>954</v>
      </c>
      <c r="S148" s="33" t="s">
        <v>37</v>
      </c>
      <c r="T148" s="33" t="s">
        <v>955</v>
      </c>
      <c r="U148" s="44">
        <v>22</v>
      </c>
      <c r="V148" s="44">
        <v>22</v>
      </c>
      <c r="W148" s="33" t="s">
        <v>423</v>
      </c>
      <c r="X148" s="33">
        <v>7.2</v>
      </c>
      <c r="Y148" s="33" t="s">
        <v>424</v>
      </c>
      <c r="Z148" s="33">
        <v>99.5</v>
      </c>
      <c r="AA148" s="41" t="s">
        <v>435</v>
      </c>
      <c r="AB148" s="33">
        <v>749</v>
      </c>
      <c r="AC148" s="33">
        <v>99.5</v>
      </c>
      <c r="AD148" s="40">
        <f t="shared" si="81"/>
        <v>109.10468606689993</v>
      </c>
      <c r="AE148" s="40">
        <f t="shared" si="93"/>
        <v>109.10468606689993</v>
      </c>
      <c r="AG148" s="16">
        <f t="shared" si="82"/>
        <v>3.0760968147407053</v>
      </c>
      <c r="AH148" s="26">
        <f t="shared" si="83"/>
        <v>0.32508729738543468</v>
      </c>
      <c r="AJ148" s="85" t="str">
        <f t="shared" si="84"/>
        <v>NOAEL</v>
      </c>
      <c r="AK148" s="9">
        <f t="shared" si="89"/>
        <v>1</v>
      </c>
      <c r="AL148" s="18">
        <f t="shared" si="85"/>
        <v>109.10468606689993</v>
      </c>
      <c r="AM148" s="88" t="str">
        <f t="shared" si="86"/>
        <v>Chronic</v>
      </c>
      <c r="AN148" s="9">
        <f t="shared" si="90"/>
        <v>1</v>
      </c>
      <c r="AO148" s="18">
        <f t="shared" si="91"/>
        <v>109.10468606689993</v>
      </c>
      <c r="AP148" s="16"/>
      <c r="AQ148" s="132" t="str">
        <f t="shared" si="87"/>
        <v>NOAEL</v>
      </c>
      <c r="AR148" s="67" t="s">
        <v>356</v>
      </c>
      <c r="AS148" s="88" t="str">
        <f t="shared" si="88"/>
        <v>Chronic</v>
      </c>
      <c r="AT148" s="67" t="str">
        <f t="shared" si="92"/>
        <v>y</v>
      </c>
      <c r="AU148" s="69" t="str">
        <f>K148</f>
        <v>Biomass (Length and weight)</v>
      </c>
      <c r="AV148" s="67" t="s">
        <v>459</v>
      </c>
      <c r="AW148" s="70">
        <f>M148</f>
        <v>10</v>
      </c>
      <c r="AX148" s="67" t="s">
        <v>460</v>
      </c>
      <c r="AY148" s="67"/>
      <c r="AZ148" s="80">
        <f>AO148</f>
        <v>109.10468606689993</v>
      </c>
      <c r="BA148" s="81"/>
      <c r="BB148" s="78"/>
      <c r="BC148" s="133"/>
    </row>
    <row r="149" spans="1:56" ht="16" x14ac:dyDescent="0.25">
      <c r="A149" s="32" t="s">
        <v>436</v>
      </c>
      <c r="B149" s="44">
        <v>229</v>
      </c>
      <c r="C149" s="34" t="s">
        <v>24</v>
      </c>
      <c r="D149" s="35" t="s">
        <v>422</v>
      </c>
      <c r="E149" s="33" t="s">
        <v>178</v>
      </c>
      <c r="F149" s="33" t="s">
        <v>390</v>
      </c>
      <c r="G149" s="33" t="s">
        <v>72</v>
      </c>
      <c r="H149" s="33" t="s">
        <v>572</v>
      </c>
      <c r="I149" s="33" t="s">
        <v>410</v>
      </c>
      <c r="J149" s="36" t="s">
        <v>431</v>
      </c>
      <c r="K149" s="36" t="s">
        <v>432</v>
      </c>
      <c r="L149" s="36" t="s">
        <v>392</v>
      </c>
      <c r="M149" s="33">
        <v>10</v>
      </c>
      <c r="N149" s="33" t="s">
        <v>55</v>
      </c>
      <c r="O149" s="33" t="s">
        <v>33</v>
      </c>
      <c r="P149" s="38" t="s">
        <v>393</v>
      </c>
      <c r="Q149" s="38" t="s">
        <v>900</v>
      </c>
      <c r="R149" s="33" t="s">
        <v>954</v>
      </c>
      <c r="S149" s="33" t="s">
        <v>37</v>
      </c>
      <c r="T149" s="33" t="s">
        <v>955</v>
      </c>
      <c r="U149" s="44">
        <v>22</v>
      </c>
      <c r="V149" s="44">
        <v>22</v>
      </c>
      <c r="W149" s="33" t="s">
        <v>423</v>
      </c>
      <c r="X149" s="33">
        <v>7.2</v>
      </c>
      <c r="Y149" s="33" t="s">
        <v>424</v>
      </c>
      <c r="Z149" s="33">
        <v>99.5</v>
      </c>
      <c r="AA149" s="41" t="s">
        <v>437</v>
      </c>
      <c r="AB149" s="33">
        <v>412</v>
      </c>
      <c r="AC149" s="33">
        <v>99.5</v>
      </c>
      <c r="AD149" s="40">
        <f t="shared" si="81"/>
        <v>109.10468606689993</v>
      </c>
      <c r="AE149" s="40">
        <f t="shared" si="93"/>
        <v>109.10468606689993</v>
      </c>
      <c r="AG149" s="16">
        <f t="shared" si="82"/>
        <v>3.0760968147407053</v>
      </c>
      <c r="AH149" s="26">
        <f t="shared" si="83"/>
        <v>0.32508729738543468</v>
      </c>
      <c r="AJ149" s="85" t="str">
        <f t="shared" si="84"/>
        <v>NOAEL</v>
      </c>
      <c r="AK149" s="9">
        <f t="shared" si="89"/>
        <v>1</v>
      </c>
      <c r="AL149" s="18">
        <f t="shared" si="85"/>
        <v>109.10468606689993</v>
      </c>
      <c r="AM149" s="88" t="str">
        <f t="shared" si="86"/>
        <v>Chronic</v>
      </c>
      <c r="AN149" s="9">
        <f t="shared" si="90"/>
        <v>1</v>
      </c>
      <c r="AO149" s="18">
        <f t="shared" si="91"/>
        <v>109.10468606689993</v>
      </c>
      <c r="AP149" s="16"/>
      <c r="AQ149" s="110" t="str">
        <f t="shared" si="87"/>
        <v>NOAEL</v>
      </c>
      <c r="AR149" s="111" t="s">
        <v>356</v>
      </c>
      <c r="AS149" s="112" t="str">
        <f t="shared" si="88"/>
        <v>Chronic</v>
      </c>
      <c r="AT149" s="111" t="str">
        <f t="shared" si="92"/>
        <v>y</v>
      </c>
      <c r="AU149" s="134" t="str">
        <f>K149</f>
        <v>Biomass (Length and weight)</v>
      </c>
      <c r="AV149" s="111" t="s">
        <v>459</v>
      </c>
      <c r="AW149" s="114">
        <f>M149</f>
        <v>10</v>
      </c>
      <c r="AX149" s="111" t="s">
        <v>460</v>
      </c>
      <c r="AY149" s="111"/>
      <c r="AZ149" s="115">
        <f>AO149</f>
        <v>109.10468606689993</v>
      </c>
      <c r="BA149" s="135"/>
      <c r="BB149" s="136"/>
      <c r="BC149" s="137"/>
    </row>
    <row r="150" spans="1:56" x14ac:dyDescent="0.2">
      <c r="AJ150" s="68"/>
      <c r="AK150" s="9"/>
      <c r="AL150" s="18"/>
      <c r="AM150" s="67"/>
      <c r="AN150" s="9"/>
      <c r="AO150" s="18"/>
      <c r="AP150" s="16"/>
      <c r="AQ150" s="68"/>
      <c r="AR150" s="67"/>
      <c r="AS150" s="67"/>
      <c r="AT150" s="67"/>
      <c r="AU150" s="76"/>
      <c r="AV150" s="67"/>
      <c r="AW150" s="70"/>
      <c r="AX150" s="67"/>
      <c r="AY150" s="67"/>
      <c r="AZ150" s="80"/>
      <c r="BA150" s="81"/>
      <c r="BB150" s="78"/>
      <c r="BC150" s="79"/>
    </row>
    <row r="151" spans="1:56" x14ac:dyDescent="0.2">
      <c r="AJ151" s="68"/>
      <c r="AK151" s="9"/>
      <c r="AL151" s="18"/>
      <c r="AM151" s="67"/>
      <c r="AN151" s="9"/>
      <c r="AO151" s="18"/>
      <c r="AP151" s="16"/>
      <c r="AQ151" s="68"/>
      <c r="AR151" s="67"/>
      <c r="AS151" s="67"/>
      <c r="AT151" s="67"/>
      <c r="AU151" s="76"/>
      <c r="AV151" s="67"/>
      <c r="AW151" s="70"/>
      <c r="AX151" s="67"/>
      <c r="AY151" s="67"/>
      <c r="AZ151" s="80"/>
      <c r="BA151" s="81"/>
      <c r="BB151" s="78"/>
      <c r="BC151" s="79"/>
    </row>
    <row r="152" spans="1:56" x14ac:dyDescent="0.2">
      <c r="AC152" s="161">
        <f>MIN(AC9:AC149)</f>
        <v>0.13</v>
      </c>
      <c r="AJ152" s="68"/>
      <c r="AK152" s="9"/>
      <c r="AL152" s="18"/>
      <c r="AM152" s="67"/>
      <c r="AN152" s="9"/>
      <c r="AO152" s="18"/>
      <c r="AP152" s="16"/>
      <c r="AQ152" s="68"/>
      <c r="AR152" s="67"/>
      <c r="AS152" s="67"/>
      <c r="AT152" s="67"/>
      <c r="AU152" s="76"/>
      <c r="AV152" s="67"/>
      <c r="AW152" s="70"/>
      <c r="AX152" s="67"/>
      <c r="AY152" s="67"/>
      <c r="AZ152" s="80"/>
      <c r="BA152" s="81"/>
      <c r="BB152" s="78"/>
      <c r="BC152" s="79"/>
    </row>
    <row r="153" spans="1:56" x14ac:dyDescent="0.2">
      <c r="AC153" s="161">
        <f>MAX(AC9:AC149)</f>
        <v>99.5</v>
      </c>
      <c r="AD153" s="161">
        <f>MIN(AD118:AD120,AD112:AD113,AD96:AD98,AD83:AD88,AD50:AD51)</f>
        <v>15.950845871628569</v>
      </c>
      <c r="AE153" s="161">
        <f>MIN(AE29:AE40,AE43,AE45:AE49)</f>
        <v>0.42845752161699024</v>
      </c>
      <c r="AJ153" s="68"/>
      <c r="AK153" s="9"/>
      <c r="AL153" s="18"/>
      <c r="AM153" s="67"/>
      <c r="AN153" s="9"/>
      <c r="AO153" s="18"/>
      <c r="AP153" s="16"/>
      <c r="AQ153" s="68"/>
      <c r="AR153" s="67"/>
      <c r="AS153" s="67"/>
      <c r="AT153" s="67"/>
      <c r="AU153" s="69"/>
      <c r="AV153" s="67"/>
      <c r="AW153" s="70"/>
      <c r="AX153" s="67"/>
      <c r="AY153" s="67"/>
      <c r="AZ153" s="80"/>
      <c r="BA153" s="81"/>
      <c r="BB153" s="78"/>
      <c r="BC153" s="79"/>
    </row>
    <row r="154" spans="1:56" x14ac:dyDescent="0.2">
      <c r="AD154" s="161">
        <f>MAX(AD132:AD134,AD138:AD139,AD144:AD146)</f>
        <v>104.40455556869766</v>
      </c>
      <c r="AE154" s="161">
        <f>MAX(AE29:AE40,AE43,AE45:AE49)</f>
        <v>6.0277370663950665</v>
      </c>
      <c r="AJ154" s="68"/>
      <c r="AK154" s="9"/>
      <c r="AL154" s="18"/>
      <c r="AM154" s="67"/>
      <c r="AN154" s="9"/>
      <c r="AO154" s="18"/>
      <c r="AP154" s="16"/>
      <c r="AQ154" s="68"/>
      <c r="AR154" s="67"/>
      <c r="AS154" s="67"/>
      <c r="AT154" s="67"/>
      <c r="AU154" s="69"/>
      <c r="AV154" s="67"/>
      <c r="AW154" s="70"/>
      <c r="AX154" s="67"/>
      <c r="AY154" s="67"/>
      <c r="AZ154" s="80"/>
      <c r="BA154" s="81"/>
      <c r="BB154" s="78"/>
      <c r="BC154" s="79"/>
    </row>
    <row r="155" spans="1:56" x14ac:dyDescent="0.2">
      <c r="AJ155" s="68"/>
      <c r="AK155" s="9"/>
      <c r="AL155" s="18"/>
      <c r="AM155" s="67"/>
      <c r="AN155" s="9"/>
      <c r="AO155" s="18"/>
      <c r="AP155" s="16"/>
      <c r="AQ155" s="68"/>
      <c r="AR155" s="67"/>
      <c r="AS155" s="67"/>
      <c r="AT155" s="67"/>
      <c r="AU155" s="69"/>
      <c r="AV155" s="67"/>
      <c r="AW155" s="70"/>
      <c r="AX155" s="67"/>
      <c r="AY155" s="67"/>
      <c r="AZ155" s="80"/>
      <c r="BA155" s="81"/>
      <c r="BB155" s="78"/>
      <c r="BC155" s="79"/>
    </row>
    <row r="156" spans="1:56" x14ac:dyDescent="0.2">
      <c r="AJ156" s="68"/>
      <c r="AK156" s="9"/>
      <c r="AL156" s="18"/>
      <c r="AM156" s="67"/>
      <c r="AN156" s="9"/>
      <c r="AO156" s="18"/>
      <c r="AP156" s="16"/>
      <c r="AQ156" s="68"/>
      <c r="AR156" s="67"/>
      <c r="AS156" s="67"/>
      <c r="AT156" s="67"/>
      <c r="AU156" s="69"/>
      <c r="AV156" s="67"/>
      <c r="AW156" s="70"/>
      <c r="AX156" s="67"/>
      <c r="AY156" s="67"/>
      <c r="AZ156" s="80"/>
      <c r="BA156" s="81"/>
      <c r="BB156" s="78"/>
      <c r="BC156" s="79"/>
    </row>
    <row r="157" spans="1:56" x14ac:dyDescent="0.2">
      <c r="AJ157" s="68"/>
      <c r="AK157" s="9"/>
      <c r="AL157" s="18"/>
      <c r="AM157" s="67"/>
      <c r="AN157" s="9"/>
      <c r="AO157" s="18"/>
      <c r="AP157" s="16"/>
      <c r="AQ157" s="68"/>
      <c r="AR157" s="67"/>
      <c r="AS157" s="67"/>
      <c r="AT157" s="67"/>
      <c r="AU157" s="69"/>
      <c r="AV157" s="67"/>
      <c r="AW157" s="70"/>
      <c r="AX157" s="67"/>
      <c r="AY157" s="67"/>
      <c r="AZ157" s="80"/>
      <c r="BA157" s="81"/>
      <c r="BB157" s="78"/>
      <c r="BC157" s="79"/>
    </row>
    <row r="158" spans="1:56" x14ac:dyDescent="0.2">
      <c r="AJ158" s="68"/>
      <c r="AK158" s="9"/>
      <c r="AL158" s="18"/>
      <c r="AM158" s="67"/>
      <c r="AN158" s="9"/>
      <c r="AO158" s="18"/>
      <c r="AP158" s="16"/>
      <c r="AQ158" s="68"/>
      <c r="AR158" s="67"/>
      <c r="AS158" s="67"/>
      <c r="AT158" s="67"/>
      <c r="AU158" s="76"/>
      <c r="AV158" s="67"/>
      <c r="AW158" s="70"/>
      <c r="AX158" s="67"/>
      <c r="AY158" s="67"/>
      <c r="AZ158" s="80"/>
      <c r="BA158" s="81"/>
      <c r="BB158" s="78"/>
      <c r="BC158" s="79"/>
    </row>
    <row r="159" spans="1:56" x14ac:dyDescent="0.2">
      <c r="Y159" s="18"/>
      <c r="Z159" s="30"/>
      <c r="AJ159" s="68"/>
      <c r="AK159" s="9"/>
      <c r="AL159" s="18"/>
      <c r="AM159" s="67"/>
      <c r="AN159" s="9"/>
      <c r="AO159" s="18"/>
      <c r="AP159" s="16"/>
      <c r="AQ159" s="68"/>
      <c r="AR159" s="67"/>
      <c r="AS159" s="67"/>
      <c r="AT159" s="67"/>
      <c r="AU159" s="76"/>
      <c r="AV159" s="67"/>
      <c r="AW159" s="70"/>
      <c r="AX159" s="67"/>
      <c r="AY159" s="67"/>
      <c r="AZ159" s="80"/>
      <c r="BA159" s="81"/>
      <c r="BB159" s="78"/>
      <c r="BC159" s="79"/>
    </row>
    <row r="160" spans="1:56" x14ac:dyDescent="0.2">
      <c r="Y160" s="18"/>
      <c r="Z160" s="30"/>
      <c r="AJ160" s="68"/>
      <c r="AK160" s="9"/>
      <c r="AL160" s="18"/>
      <c r="AM160" s="67"/>
      <c r="AN160" s="9"/>
      <c r="AO160" s="18"/>
      <c r="AP160" s="16"/>
      <c r="AQ160" s="68"/>
      <c r="AR160" s="67"/>
      <c r="AS160" s="67"/>
      <c r="AT160" s="67"/>
      <c r="AU160" s="76"/>
      <c r="AV160" s="67"/>
      <c r="AW160" s="70"/>
      <c r="AX160" s="67"/>
      <c r="AY160" s="67"/>
      <c r="AZ160" s="80"/>
      <c r="BA160" s="81"/>
      <c r="BB160" s="78"/>
      <c r="BC160" s="79"/>
    </row>
    <row r="161" spans="25:55" x14ac:dyDescent="0.2">
      <c r="Y161" s="9"/>
      <c r="Z161" s="30"/>
      <c r="AJ161" s="68"/>
      <c r="AK161" s="9"/>
      <c r="AL161" s="18"/>
      <c r="AM161" s="67"/>
      <c r="AN161" s="9"/>
      <c r="AO161" s="18"/>
      <c r="AP161" s="16"/>
      <c r="AQ161" s="68"/>
      <c r="AR161" s="67"/>
      <c r="AS161" s="67"/>
      <c r="AT161" s="67"/>
      <c r="AU161" s="69"/>
      <c r="AV161" s="67"/>
      <c r="AW161" s="70"/>
      <c r="AX161" s="67"/>
      <c r="AY161" s="67"/>
      <c r="AZ161" s="80"/>
      <c r="BA161" s="81"/>
      <c r="BB161" s="78"/>
      <c r="BC161" s="79"/>
    </row>
    <row r="162" spans="25:55" x14ac:dyDescent="0.2">
      <c r="Y162" s="9"/>
      <c r="Z162" s="30"/>
      <c r="AJ162" s="68"/>
      <c r="AK162" s="9"/>
      <c r="AL162" s="18"/>
      <c r="AM162" s="67"/>
      <c r="AN162" s="9"/>
      <c r="AO162" s="18"/>
      <c r="AP162" s="16"/>
      <c r="AQ162" s="68"/>
      <c r="AR162" s="67"/>
      <c r="AS162" s="67"/>
      <c r="AT162" s="67"/>
      <c r="AU162" s="69"/>
      <c r="AV162" s="67"/>
      <c r="AW162" s="70"/>
      <c r="AX162" s="67"/>
      <c r="AY162" s="67"/>
      <c r="AZ162" s="80"/>
      <c r="BA162" s="86"/>
      <c r="BB162" s="78"/>
      <c r="BC162" s="79"/>
    </row>
    <row r="163" spans="25:55" x14ac:dyDescent="0.2">
      <c r="Y163" s="9"/>
      <c r="Z163" s="30"/>
      <c r="AJ163" s="68"/>
      <c r="AK163" s="9"/>
      <c r="AL163" s="18"/>
      <c r="AM163" s="67"/>
      <c r="AN163" s="9"/>
      <c r="AO163" s="18"/>
      <c r="AP163" s="16"/>
      <c r="AQ163" s="68"/>
      <c r="AR163" s="67"/>
      <c r="AS163" s="67"/>
      <c r="AT163" s="67"/>
      <c r="AU163" s="69"/>
      <c r="AV163" s="67"/>
      <c r="AW163" s="70"/>
      <c r="AX163" s="67"/>
      <c r="AY163" s="67"/>
      <c r="AZ163" s="80"/>
      <c r="BA163" s="81"/>
      <c r="BB163" s="78"/>
      <c r="BC163" s="79"/>
    </row>
    <row r="164" spans="25:55" x14ac:dyDescent="0.2">
      <c r="Y164" s="9"/>
      <c r="Z164" s="30"/>
      <c r="AJ164" s="68"/>
      <c r="AK164" s="9"/>
      <c r="AL164" s="18"/>
      <c r="AM164" s="67"/>
      <c r="AN164" s="9"/>
      <c r="AO164" s="18"/>
      <c r="AP164" s="16"/>
      <c r="AQ164" s="68"/>
      <c r="AR164" s="67"/>
      <c r="AS164" s="67"/>
      <c r="AT164" s="67"/>
      <c r="AU164" s="76"/>
      <c r="AV164" s="67"/>
      <c r="AW164" s="70"/>
      <c r="AX164" s="67"/>
      <c r="AY164" s="67"/>
      <c r="AZ164" s="82"/>
      <c r="BA164" s="72"/>
      <c r="BB164" s="73"/>
      <c r="BC164" s="74"/>
    </row>
    <row r="165" spans="25:55" x14ac:dyDescent="0.2">
      <c r="AJ165" s="68"/>
      <c r="AK165" s="9"/>
      <c r="AL165" s="18"/>
      <c r="AM165" s="67"/>
      <c r="AN165" s="9"/>
      <c r="AO165" s="18"/>
      <c r="AP165" s="16"/>
      <c r="AQ165" s="68"/>
      <c r="AR165" s="67"/>
      <c r="AS165" s="67"/>
      <c r="AT165" s="67"/>
      <c r="AU165" s="76"/>
      <c r="AV165" s="67"/>
      <c r="AW165" s="70"/>
      <c r="AX165" s="67"/>
      <c r="AY165" s="67"/>
      <c r="AZ165" s="82"/>
      <c r="BA165" s="72"/>
      <c r="BB165" s="73"/>
      <c r="BC165" s="74"/>
    </row>
    <row r="166" spans="25:55" x14ac:dyDescent="0.2">
      <c r="AJ166" s="68"/>
      <c r="AK166" s="9"/>
      <c r="AL166" s="18"/>
      <c r="AM166" s="67"/>
      <c r="AN166" s="9"/>
      <c r="AO166" s="18"/>
      <c r="AP166" s="16"/>
      <c r="AQ166" s="68"/>
      <c r="AR166" s="67"/>
      <c r="AS166" s="67"/>
      <c r="AT166" s="67"/>
      <c r="AU166" s="69"/>
      <c r="AV166" s="67"/>
      <c r="AW166" s="70"/>
      <c r="AX166" s="67"/>
      <c r="AY166" s="67"/>
      <c r="AZ166" s="80"/>
      <c r="BA166" s="81"/>
      <c r="BB166" s="78"/>
      <c r="BC166" s="79"/>
    </row>
    <row r="167" spans="25:55" x14ac:dyDescent="0.2">
      <c r="AJ167" s="68"/>
      <c r="AK167" s="9"/>
      <c r="AL167" s="18"/>
      <c r="AM167" s="67"/>
      <c r="AN167" s="9"/>
      <c r="AO167" s="18"/>
      <c r="AP167" s="16"/>
      <c r="AQ167" s="68"/>
      <c r="AR167" s="67"/>
      <c r="AS167" s="67"/>
      <c r="AT167" s="67"/>
      <c r="AU167" s="69"/>
      <c r="AV167" s="67"/>
      <c r="AW167" s="70"/>
      <c r="AX167" s="67"/>
      <c r="AY167" s="67"/>
      <c r="AZ167" s="80"/>
      <c r="BA167" s="81"/>
      <c r="BB167" s="78"/>
      <c r="BC167" s="79"/>
    </row>
    <row r="168" spans="25:55" x14ac:dyDescent="0.2">
      <c r="AJ168" s="68"/>
      <c r="AK168" s="9"/>
      <c r="AL168" s="18"/>
      <c r="AM168" s="67"/>
      <c r="AN168" s="9"/>
      <c r="AO168" s="18"/>
      <c r="AP168" s="16"/>
      <c r="AQ168" s="68"/>
      <c r="AR168" s="67"/>
      <c r="AS168" s="67"/>
      <c r="AT168" s="67"/>
      <c r="AU168" s="69"/>
      <c r="AV168" s="67"/>
      <c r="AW168" s="70"/>
      <c r="AX168" s="67"/>
      <c r="AY168" s="67"/>
      <c r="AZ168" s="80"/>
      <c r="BA168" s="81"/>
      <c r="BB168" s="78"/>
      <c r="BC168" s="79"/>
    </row>
    <row r="169" spans="25:55" x14ac:dyDescent="0.2">
      <c r="AJ169" s="68"/>
      <c r="AK169" s="9"/>
      <c r="AL169" s="18"/>
      <c r="AM169" s="67"/>
      <c r="AN169" s="9"/>
      <c r="AO169" s="18"/>
      <c r="AP169" s="16"/>
      <c r="AQ169" s="68"/>
      <c r="AR169" s="67"/>
      <c r="AS169" s="67"/>
      <c r="AT169" s="67"/>
      <c r="AU169" s="69"/>
      <c r="AV169" s="67"/>
      <c r="AW169" s="70"/>
      <c r="AX169" s="67"/>
      <c r="AY169" s="67"/>
      <c r="AZ169" s="80"/>
      <c r="BA169" s="81"/>
      <c r="BB169" s="78"/>
      <c r="BC169" s="79"/>
    </row>
    <row r="170" spans="25:55" x14ac:dyDescent="0.2">
      <c r="AJ170" s="68"/>
      <c r="AK170" s="9"/>
      <c r="AL170" s="27"/>
      <c r="AM170" s="67"/>
      <c r="AN170" s="9"/>
      <c r="AO170" s="15"/>
      <c r="AP170" s="16"/>
      <c r="AQ170" s="68"/>
      <c r="AR170" s="67"/>
      <c r="AS170" s="67"/>
      <c r="AT170" s="67"/>
      <c r="AU170" s="69"/>
      <c r="AV170" s="67"/>
      <c r="AW170" s="70"/>
      <c r="AX170" s="67"/>
      <c r="AY170" s="67"/>
      <c r="AZ170" s="80"/>
      <c r="BA170" s="81"/>
      <c r="BB170" s="78"/>
      <c r="BC170" s="79"/>
    </row>
    <row r="171" spans="25:55" x14ac:dyDescent="0.2">
      <c r="AJ171" s="68"/>
      <c r="AK171" s="9"/>
      <c r="AL171" s="18"/>
      <c r="AM171" s="67"/>
      <c r="AN171" s="9"/>
      <c r="AO171" s="18"/>
      <c r="AP171" s="16"/>
      <c r="AQ171" s="68"/>
      <c r="AR171" s="67"/>
      <c r="AS171" s="67"/>
      <c r="AT171" s="67"/>
      <c r="AU171" s="76"/>
      <c r="AV171" s="67"/>
      <c r="AW171" s="70"/>
      <c r="AX171" s="67"/>
      <c r="AY171" s="67"/>
      <c r="AZ171" s="80"/>
      <c r="BA171" s="81"/>
      <c r="BB171" s="78"/>
      <c r="BC171" s="79"/>
    </row>
    <row r="172" spans="25:55" x14ac:dyDescent="0.2">
      <c r="AJ172" s="68"/>
      <c r="AK172" s="9"/>
      <c r="AL172" s="18"/>
      <c r="AM172" s="67"/>
      <c r="AN172" s="9"/>
      <c r="AO172" s="18"/>
      <c r="AP172" s="16"/>
      <c r="AQ172" s="68"/>
      <c r="AR172" s="67"/>
      <c r="AS172" s="67"/>
      <c r="AT172" s="67"/>
      <c r="AU172" s="76"/>
      <c r="AV172" s="67"/>
      <c r="AW172" s="70"/>
      <c r="AX172" s="67"/>
      <c r="AY172" s="67"/>
      <c r="AZ172" s="80"/>
      <c r="BA172" s="81"/>
      <c r="BB172" s="78"/>
      <c r="BC172" s="79"/>
    </row>
    <row r="173" spans="25:55" x14ac:dyDescent="0.2">
      <c r="AJ173" s="68"/>
      <c r="AK173" s="9"/>
      <c r="AL173" s="18"/>
      <c r="AM173" s="67"/>
      <c r="AN173" s="9"/>
      <c r="AO173" s="18"/>
      <c r="AP173" s="16"/>
      <c r="AQ173" s="68"/>
      <c r="AR173" s="67"/>
      <c r="AS173" s="67"/>
      <c r="AT173" s="67"/>
      <c r="AU173" s="76"/>
      <c r="AV173" s="67"/>
      <c r="AW173" s="70"/>
      <c r="AX173" s="67"/>
      <c r="AY173" s="67"/>
      <c r="AZ173" s="80"/>
      <c r="BA173" s="81"/>
      <c r="BB173" s="78"/>
      <c r="BC173" s="79"/>
    </row>
    <row r="174" spans="25:55" x14ac:dyDescent="0.2">
      <c r="AJ174" s="68"/>
      <c r="AK174" s="9"/>
      <c r="AL174" s="18"/>
      <c r="AM174" s="67"/>
      <c r="AN174" s="9"/>
      <c r="AO174" s="18"/>
      <c r="AP174" s="16"/>
      <c r="AQ174" s="68"/>
      <c r="AR174" s="67"/>
      <c r="AS174" s="67"/>
      <c r="AT174" s="67"/>
      <c r="AU174" s="69"/>
      <c r="AV174" s="67"/>
      <c r="AW174" s="70"/>
      <c r="AX174" s="67"/>
      <c r="AY174" s="67"/>
      <c r="AZ174" s="80"/>
      <c r="BA174" s="81"/>
      <c r="BB174" s="78"/>
      <c r="BC174" s="79"/>
    </row>
    <row r="175" spans="25:55" x14ac:dyDescent="0.2">
      <c r="AJ175" s="68"/>
      <c r="AK175" s="9"/>
      <c r="AL175" s="18"/>
      <c r="AM175" s="67"/>
      <c r="AN175" s="9"/>
      <c r="AO175" s="18"/>
      <c r="AP175" s="16"/>
      <c r="AQ175" s="68"/>
      <c r="AR175" s="67"/>
      <c r="AS175" s="67"/>
      <c r="AT175" s="67"/>
      <c r="AU175" s="69"/>
      <c r="AV175" s="67"/>
      <c r="AW175" s="70"/>
      <c r="AX175" s="67"/>
      <c r="AY175" s="67"/>
      <c r="AZ175" s="80"/>
      <c r="BA175" s="81"/>
      <c r="BB175" s="78"/>
      <c r="BC175" s="79"/>
    </row>
    <row r="176" spans="25:55" x14ac:dyDescent="0.2">
      <c r="AJ176" s="68"/>
      <c r="AK176" s="9"/>
      <c r="AL176" s="18"/>
      <c r="AM176" s="67"/>
      <c r="AN176" s="9"/>
      <c r="AO176" s="18"/>
      <c r="AP176" s="16"/>
      <c r="AQ176" s="68"/>
      <c r="AR176" s="67"/>
      <c r="AS176" s="67"/>
      <c r="AT176" s="67"/>
      <c r="AU176" s="69"/>
      <c r="AV176" s="67"/>
      <c r="AW176" s="70"/>
      <c r="AX176" s="67"/>
      <c r="AY176" s="67"/>
      <c r="AZ176" s="80"/>
      <c r="BA176" s="81"/>
      <c r="BB176" s="78"/>
      <c r="BC176" s="79"/>
    </row>
    <row r="177" spans="43:52" x14ac:dyDescent="0.2">
      <c r="AQ177" s="87"/>
      <c r="AZ177" s="87"/>
    </row>
    <row r="178" spans="43:52" x14ac:dyDescent="0.2">
      <c r="AQ178" s="87"/>
      <c r="AZ178" s="87"/>
    </row>
    <row r="179" spans="43:52" x14ac:dyDescent="0.2">
      <c r="AQ179" s="87"/>
      <c r="AZ179" s="87"/>
    </row>
    <row r="180" spans="43:52" x14ac:dyDescent="0.2">
      <c r="AQ180" s="87"/>
      <c r="AZ180" s="87"/>
    </row>
  </sheetData>
  <autoFilter ref="A4:AC149" xr:uid="{68E7697B-F579-4F71-A993-44D7869094F3}"/>
  <mergeCells count="8">
    <mergeCell ref="BF4:BI4"/>
    <mergeCell ref="AJ3:AO3"/>
    <mergeCell ref="AZ3:BC3"/>
    <mergeCell ref="BD3:BD4"/>
    <mergeCell ref="AQ3:AR3"/>
    <mergeCell ref="AS3:AT3"/>
    <mergeCell ref="AU3:AV3"/>
    <mergeCell ref="AW3:AX3"/>
  </mergeCells>
  <phoneticPr fontId="51" type="noConversion"/>
  <conditionalFormatting sqref="AR5:AR11">
    <cfRule type="containsText" dxfId="38" priority="21" operator="containsText" text="n">
      <formula>NOT(ISERROR(SEARCH("n",AR5)))</formula>
    </cfRule>
  </conditionalFormatting>
  <conditionalFormatting sqref="AR13:AR176">
    <cfRule type="containsText" dxfId="37" priority="1" operator="containsText" text="n">
      <formula>NOT(ISERROR(SEARCH("n",AR13)))</formula>
    </cfRule>
  </conditionalFormatting>
  <conditionalFormatting sqref="AT5:AT176">
    <cfRule type="containsText" dxfId="36" priority="9" operator="containsText" text="n">
      <formula>NOT(ISERROR(SEARCH("n",AT5)))</formula>
    </cfRule>
  </conditionalFormatting>
  <hyperlinks>
    <hyperlink ref="A82" location="'FW nonmetal nonplant_WS'!D16" display="'FW nonmetal nonplant_WS'!D16" xr:uid="{88B7277B-0F38-4BCF-9904-0524D1C18627}"/>
    <hyperlink ref="A105" location="'FW nonmetal nonplant_WS'!D19" display="'FW nonmetal nonplant_WS'!D19" xr:uid="{55BDA61D-22DE-4137-8814-96B3D1BBC297}"/>
    <hyperlink ref="A106" location="'FW nonmetal nonplant_WS'!D22" display="'FW nonmetal nonplant_WS'!D22" xr:uid="{D15D9F4F-AE52-43C7-9D66-D397AFDA8280}"/>
    <hyperlink ref="A89" location="'FW nonmetal nonplant_WS'!D55" display="'FW nonmetal nonplant_WS'!D55" xr:uid="{F7B800A2-8A92-4680-AEF4-EE255102F123}"/>
    <hyperlink ref="A90" location="'FW nonmetal nonplant_WS'!D58" display="'FW nonmetal nonplant_WS'!D58" xr:uid="{4AC68CF6-F81D-4298-8127-CE47EAD3AA9F}"/>
    <hyperlink ref="A93" location="'FW nonmetal nonplant_WS'!D61" display="'FW nonmetal nonplant_WS'!D61" xr:uid="{3F2C9CB2-1F78-4F0D-B6A6-E311BA2FBE0E}"/>
    <hyperlink ref="A91" location="'FW nonmetal nonplant_WS'!D67" display="'FW nonmetal nonplant_WS'!D67" xr:uid="{12EE5B54-165D-4E54-93D0-E61D525B7C39}"/>
    <hyperlink ref="A101" location="'FW nonmetal nonplant_WS'!D76" display="'FW nonmetal nonplant_WS'!D76" xr:uid="{99DBEEF6-22A5-415F-B409-C0ADB7EE99E5}"/>
    <hyperlink ref="A103" location="'FW nonmetal nonplant_WS'!D79" display="'FW nonmetal nonplant_WS'!D79" xr:uid="{BF4E4409-762E-4548-9329-7C6730F15A28}"/>
    <hyperlink ref="A110" location="'FW nonmetal nonplant_WS'!D82" display="'FW nonmetal nonplant_WS'!D82" xr:uid="{8FB74543-AD12-4785-AB93-277D5D5A5DC0}"/>
    <hyperlink ref="A112" location="'FW nonmetal nonplant_WS'!D94" display="'FW nonmetal nonplant_WS'!D94" xr:uid="{7EFA46CA-95DA-4532-8992-B0B6202D191A}"/>
    <hyperlink ref="A113" location="'FW nonmetal nonplant_WS'!D97" display="'FW nonmetal nonplant_WS'!D97" xr:uid="{E13BD28E-2FB1-4B9E-BDC1-C1DD103C1991}"/>
    <hyperlink ref="A114" location="'FW nonmetal nonplant_WS'!D100" display="'FW nonmetal nonplant_WS'!D100" xr:uid="{6DCAC991-53BC-4C21-BA3A-9AC03832E270}"/>
    <hyperlink ref="A104" location="'FW nonmetal nonplant_WS'!D103" display="'FW nonmetal nonplant_WS'!D103" xr:uid="{E3BB8C5C-0EC8-40D1-BE3E-CDFD94D8467B}"/>
    <hyperlink ref="A115" location="'FW nonmetal nonplant_WS'!D112" display="'FW nonmetal nonplant_WS'!D112" xr:uid="{6D1B6D1D-B745-4C28-BB2A-02A21656B504}"/>
    <hyperlink ref="A116" location="'FW nonmetal nonplant_WS'!D115" display="'FW nonmetal nonplant_WS'!D115" xr:uid="{7078FE30-22B5-421E-B883-F179DA3A428D}"/>
    <hyperlink ref="A118" location="'FW nonmetal nonplant_WS'!D118" display="'FW nonmetal nonplant_WS'!D118" xr:uid="{F36CF20C-FB6F-491C-A781-270E988D7B9B}"/>
    <hyperlink ref="A119" location="'FW nonmetal nonplant_WS'!D130" display="'FW nonmetal nonplant_WS'!D130" xr:uid="{25BF1C62-EE47-4B4F-A8D8-D6A6081BD1FF}"/>
    <hyperlink ref="A120" location="'FW nonmetal nonplant_WS'!D133" display="'FW nonmetal nonplant_WS'!D133" xr:uid="{47EB9124-2B03-4D8B-89D2-308A3B5B3914}"/>
    <hyperlink ref="A121" location="'FW nonmetal nonplant_WS'!D136" display="'FW nonmetal nonplant_WS'!D136" xr:uid="{124A9E69-CBB5-4856-AB2B-B9D14BB1DB39}"/>
    <hyperlink ref="A117" location="'FW nonmetal nonplant_WS'!D139" display="'FW nonmetal nonplant_WS'!D139" xr:uid="{CF5AE8E4-27B2-407E-9D38-932DAC05E8EC}"/>
    <hyperlink ref="A122" location="'FW nonmetal nonplant_WS'!D148" display="'FW nonmetal nonplant_WS'!D148" xr:uid="{3C32682E-E996-40BE-8D14-A596BDAE4161}"/>
    <hyperlink ref="A123" location="'FW nonmetal nonplant_WS'!D151" display="'FW nonmetal nonplant_WS'!D151" xr:uid="{8EB07528-4FD5-44B0-9FCF-FAA8569F47A0}"/>
    <hyperlink ref="A125" location="'FW nonmetal nonplant_WS'!D166" display="'FW nonmetal nonplant_WS'!D166" xr:uid="{E2629D0A-8ACD-4611-9D1E-FD6971886AFD}"/>
    <hyperlink ref="A126" location="'FW nonmetal nonplant_WS'!D169" display="'FW nonmetal nonplant_WS'!D169" xr:uid="{ACED09D7-8FA1-4BFD-8177-8F7DA415D9E4}"/>
    <hyperlink ref="A127" location="'FW nonmetal nonplant_WS'!D172" display="'FW nonmetal nonplant_WS'!D172" xr:uid="{2CD46E18-A1EE-4B36-8432-B066D95853E0}"/>
    <hyperlink ref="A124" location="'FW nonmetal nonplant_WS'!D175" display="'FW nonmetal nonplant_WS'!D175" xr:uid="{415DE1AE-89D0-425F-93EE-5BA50AE57D5C}"/>
    <hyperlink ref="A13" location="'FW nonmetal nonplant_WS'!D181" display="'FW nonmetal nonplant_WS'!D181" xr:uid="{0A84F42A-B55E-4993-B4BF-0A268B8168CD}"/>
    <hyperlink ref="A54" location="'FW nonmetal nonplant_WS'!D187" display="'FW nonmetal nonplant_WS'!D187" xr:uid="{2EE7669D-8ED8-4B62-9334-1F87F19BB62A}"/>
    <hyperlink ref="A55" location="'FW nonmetal nonplant_WS'!D190" display="'FW nonmetal nonplant_WS'!D190" xr:uid="{E7C6C0FC-0800-4A30-8162-73548D6C60A6}"/>
    <hyperlink ref="A56" location="'FW nonmetal nonplant_WS'!D193" display="'FW nonmetal nonplant_WS'!D193" xr:uid="{D5EBBB84-8707-4211-89B4-5F3FEF9A5BAD}"/>
    <hyperlink ref="A57" location="'FW nonmetal nonplant_WS'!D196" display="'FW nonmetal nonplant_WS'!D196" xr:uid="{C247FFDD-1DBA-4792-B829-3DF8A65C09CB}"/>
    <hyperlink ref="A58" location="'FW nonmetal nonplant_WS'!D199" display="'FW nonmetal nonplant_WS'!D199" xr:uid="{90576321-5173-429E-981E-EED22EE5019E}"/>
    <hyperlink ref="A59" location="'FW nonmetal nonplant_WS'!D205" display="'FW nonmetal nonplant_WS'!D205" xr:uid="{17BE872E-7C53-4773-BC26-D7A7CC527CE8}"/>
    <hyperlink ref="A50" location="'FW nonmetal nonplant_WS'!D208" display="'FW nonmetal nonplant_WS'!D208" xr:uid="{E3E94D42-C0F7-4E12-800E-26B613FB6A62}"/>
    <hyperlink ref="A51" location="'FW nonmetal nonplant_WS'!D211" display="'FW nonmetal nonplant_WS'!D211" xr:uid="{BF00476F-3B69-42AD-8F1C-062E3A6C0FCD}"/>
    <hyperlink ref="A52" location="'FW nonmetal nonplant_WS'!D214" display="'FW nonmetal nonplant_WS'!D214" xr:uid="{C5E1C992-ECE6-4623-9FC7-A138908348EE}"/>
    <hyperlink ref="A53" location="'FW nonmetal nonplant_WS'!D217" display="'FW nonmetal nonplant_WS'!D217" xr:uid="{D0A8994C-2BD7-4795-AC77-64509AF2FE95}"/>
    <hyperlink ref="A132" location="'FW nonmetal nonplant_WS'!D220" display="'FW nonmetal nonplant_WS'!D220" xr:uid="{898D5561-E813-46A3-9DC8-8500212AF2C6}"/>
    <hyperlink ref="A133" location="'FW nonmetal nonplant_WS'!D223" display="'FW nonmetal nonplant_WS'!D223" xr:uid="{B1BE406A-D51A-4B5B-862E-1AE4DDDBA4C0}"/>
    <hyperlink ref="A134" location="'FW nonmetal nonplant_WS'!D226" display="'FW nonmetal nonplant_WS'!D226" xr:uid="{AE630202-7D24-4D51-AB3A-B26B860A2091}"/>
    <hyperlink ref="A129" location="'FW nonmetal nonplant_WS'!D229" display="'FW nonmetal nonplant_WS'!D229" xr:uid="{5B65822C-DD6B-49A2-93E1-11D08D6CD320}"/>
    <hyperlink ref="A130" location="'FW nonmetal nonplant_WS'!D232" display="'FW nonmetal nonplant_WS'!D232" xr:uid="{E4D4ACA6-5123-41EC-9912-BCF2A34A6AFF}"/>
    <hyperlink ref="A137" location="'FW nonmetal nonplant_WS'!D235" display="'FW nonmetal nonplant_WS'!D235" xr:uid="{097CA710-DCD8-4501-9360-67327CB3352E}"/>
    <hyperlink ref="A131" location="'FW nonmetal nonplant_WS'!D238" display="'FW nonmetal nonplant_WS'!D238" xr:uid="{321508A9-7596-4824-9A8C-7A94AEA617AF}"/>
    <hyperlink ref="A138" location="'FW nonmetal nonplant_WS'!D241" display="'FW nonmetal nonplant_WS'!D241" xr:uid="{3A25BC36-50AB-4F8F-8F38-9A6AD5727609}"/>
    <hyperlink ref="A139" location="'FW nonmetal nonplant_WS'!D247" display="'FW nonmetal nonplant_WS'!D247" xr:uid="{16197BCB-E16B-43AC-96EA-1DC98BF5A133}"/>
    <hyperlink ref="A140" location="'FW nonmetal nonplant_WS'!D256" display="'FW nonmetal nonplant_WS'!D256" xr:uid="{017B6C4D-52BC-4C42-9BD1-CD0F002B602A}"/>
    <hyperlink ref="A141" location="'FW nonmetal nonplant_WS'!D262" display="'FW nonmetal nonplant_WS'!D262" xr:uid="{629337E2-3CD5-4E6A-96A3-EE1B8443C7C7}"/>
    <hyperlink ref="A143" location="'FW nonmetal nonplant_WS'!D265" display="'FW nonmetal nonplant_WS'!D265" xr:uid="{84A400D1-69D7-4090-85D0-CA2B741FE536}"/>
    <hyperlink ref="A144" location="'FW nonmetal nonplant_WS'!D244" display="'FW nonmetal nonplant_WS'!D244" xr:uid="{5E446EE9-CB1B-4824-94F0-1CC0F12442A1}"/>
    <hyperlink ref="A145" location="'FW nonmetal nonplant_WS'!D250" display="'FW nonmetal nonplant_WS'!D250" xr:uid="{06A9C298-6DDA-4E2B-A1FE-6394209835AB}"/>
    <hyperlink ref="A146" location="'FW nonmetal nonplant_WS'!D253" display="'FW nonmetal nonplant_WS'!D253" xr:uid="{07B367DD-5118-4CCF-9F2F-EF8740CA4431}"/>
    <hyperlink ref="A147" location="'FW nonmetal nonplant_WS'!D259" display="'FW nonmetal nonplant_WS'!D259" xr:uid="{D3664975-CECD-4123-9D4B-C321A3E60E0B}"/>
    <hyperlink ref="A148" location="'FW nonmetal nonplant_WS'!D268" display="'FW nonmetal nonplant_WS'!D268" xr:uid="{432092D7-D35E-4F3C-852D-AB0CB81AA5ED}"/>
    <hyperlink ref="A149" location="'FW nonmetal nonplant_WS'!D271" display="'FW nonmetal nonplant_WS'!D271" xr:uid="{43DEB25A-2105-4A41-BFC1-EC34B39D58B8}"/>
    <hyperlink ref="A9" location="'FW nonmetal nonplant_WS'!D7" display="'FW nonmetal nonplant_WS'!D7" xr:uid="{E96E6538-FEB6-4457-966E-11C1CBB43D80}"/>
    <hyperlink ref="A5" location="'FW nonmetal plant_WS'!D4" display="'FW nonmetal plant_WS'!D4" xr:uid="{15FC9DA8-E6FC-4E65-8C5C-107F2EEA7B75}"/>
    <hyperlink ref="A6" location="'FW nonmetal plant_WS'!D7" display="'FW nonmetal plant_WS'!D7" xr:uid="{8AE29AA1-84D7-4AA1-AB71-59758B2AC843}"/>
    <hyperlink ref="A7" location="'FW nonmetal plant_WS'!D10" display="'FW nonmetal plant_WS'!D10" xr:uid="{D1B6EAD7-03D4-49F9-A4CB-43B9A46D028E}"/>
    <hyperlink ref="A8" location="'FW nonmetal plant_WS'!D13" display="'FW nonmetal plant_WS'!D13" xr:uid="{06FCD87B-2B15-48D6-BDB1-19CEC16D63E5}"/>
    <hyperlink ref="A10" location="'FW nonmetal nonplant_WS'!D223" display="'FW nonmetal nonplant_WS'!D223" xr:uid="{1DA8CADD-82FC-4710-8503-50595C1E7153}"/>
    <hyperlink ref="A11" location="'FW nonmetal nonplant_WS'!D226" display="'FW nonmetal nonplant_WS'!D226" xr:uid="{C14C264F-ABC8-4C6B-8DAF-0E2EAA45EDEA}"/>
    <hyperlink ref="A12" location="'FW nonmetal nonplant_WS'!D229" display="'FW nonmetal nonplant_WS'!D229" xr:uid="{D98F62BB-077F-470E-8AED-76DAB2FF1624}"/>
    <hyperlink ref="A81" location="'FW nonmetal nonplant_WS'!D13" display="'FW nonmetal nonplant_WS'!D13" xr:uid="{2F7F6F3E-EA12-4238-911E-54AFC5EB74CE}"/>
    <hyperlink ref="A14" location="'FW nonmetal nonplant_WS'!D94" display="240-2" xr:uid="{BBFFBEB5-2C7E-4272-B288-06A83A653825}"/>
    <hyperlink ref="A15" location="'FW nonmetal nonplant_WS'!D97" display="240-3" xr:uid="{C387DBA2-2DD6-4F1F-94A3-D5A53A800BC7}"/>
    <hyperlink ref="A16" location="'FW nonmetal nonplant_WS'!D100" display="240-4" xr:uid="{54255A68-B768-4B89-BA70-BB21C277F343}"/>
    <hyperlink ref="A17" location="'FW nonmetal nonplant_WS'!D103" display="240-5" xr:uid="{3952CAE8-BA37-420D-B49B-BC2E272A80BF}"/>
    <hyperlink ref="A18" location="'FW nonmetal nonplant_WS'!D106" display="240-6" xr:uid="{226CD0F7-94C3-405E-B247-D6B5C47F4AF0}"/>
    <hyperlink ref="A22" location="'FW nonmetal nonplant_WS'!D25" display="'FW nonmetal nonplant_WS'!D25" xr:uid="{CCA30BBA-3063-4EEC-9274-F05B7440F7F6}"/>
    <hyperlink ref="A20" location="'FW nonmetal nonplant_WS'!D28" display="'FW nonmetal nonplant_WS'!D28" xr:uid="{B6348DBD-FD16-4780-A102-61A726D03019}"/>
    <hyperlink ref="A23" location="'FW nonmetal nonplant_WS'!D31" display="'FW nonmetal nonplant_WS'!D31" xr:uid="{EF1FE95F-1E5E-4FC9-80A3-E7077B96993C}"/>
    <hyperlink ref="A21" location="'FW nonmetal nonplant_WS'!D34" display="'FW nonmetal nonplant_WS'!D34" xr:uid="{67AEE657-8DCB-45EE-89AF-709BC39FAE9D}"/>
    <hyperlink ref="A24" location="'FW nonmetal nonplant_WS'!D37" display="'FW nonmetal nonplant_WS'!D37" xr:uid="{F93771BC-3A3C-455B-B812-AC2337660143}"/>
    <hyperlink ref="A25" location="'FW nonmetal nonplant_WS'!D40" display="'FW nonmetal nonplant_WS'!D40" xr:uid="{D24417FD-95B8-4A8C-9F76-EC6FD28A79F1}"/>
    <hyperlink ref="A26" location="'FW nonmetal nonplant_WS'!D43" display="'FW nonmetal nonplant_WS'!D43" xr:uid="{F7E5DC18-90A1-47C3-A1EC-C26986CE0B50}"/>
    <hyperlink ref="A27" location="'FW nonmetal nonplant_WS'!D46" display="'FW nonmetal nonplant_WS'!D46" xr:uid="{8EC26C59-28F2-4812-93BC-A4ABA72A7A7E}"/>
    <hyperlink ref="A28" location="'FW nonmetal nonplant_WS'!D4" display="'FW nonmetal nonplant_WS'!D4" xr:uid="{4E0A9153-5B53-407F-90C0-6B250EE4FADC}"/>
    <hyperlink ref="A40" location="'FW nonmetal nonplant_WS'!D115" display="'FW nonmetal nonplant_WS'!D115" xr:uid="{49007C84-8DC4-4CF0-9236-DD773722561B}"/>
    <hyperlink ref="A43" location="'FW nonmetal nonplant_WS'!D118" display="'FW nonmetal nonplant_WS'!D118" xr:uid="{F164A941-321B-46A6-884C-90B0DB455B54}"/>
    <hyperlink ref="A45" location="'FW nonmetal nonplant_WS'!D121" display="'FW nonmetal nonplant_WS'!D121" xr:uid="{1D6863ED-F045-4A22-B593-FAB593BC996F}"/>
    <hyperlink ref="A41" location="'FW nonmetal nonplant_WS'!D124" display="'FW nonmetal nonplant_WS'!D124" xr:uid="{F97BF0B1-52D0-4A24-B7AA-CCCCCF97DF99}"/>
    <hyperlink ref="A44" location="'FW nonmetal nonplant_WS'!D127" display="'FW nonmetal nonplant_WS'!D127" xr:uid="{E8E4B794-76F9-43DD-9566-7636B52ACF68}"/>
    <hyperlink ref="A42" location="'FW nonmetal nonplant_WS'!D130" display="'FW nonmetal nonplant_WS'!D130" xr:uid="{B54572B7-8F8F-45FE-9ACC-5E97122DDDDE}"/>
    <hyperlink ref="A32" location="'FW nonmetal nonplant_WS'!D346" display="'FW nonmetal nonplant_WS'!D346" xr:uid="{21796EFA-EF5E-4446-BA51-1C919EE5B1DC}"/>
    <hyperlink ref="A33" location="'FW nonmetal nonplant_WS'!D349" display="'FW nonmetal nonplant_WS'!D349" xr:uid="{0298DA5F-2063-4B34-84D9-38999F0D1B53}"/>
    <hyperlink ref="A34" location="'FW nonmetal nonplant_WS'!D352" display="'FW nonmetal nonplant_WS'!D352" xr:uid="{7C047FDF-880D-417F-B760-36F17D63BE8B}"/>
    <hyperlink ref="A46" location="'FW nonmetal nonplant_WS'!D355" display="'FW nonmetal nonplant_WS'!D355" xr:uid="{B437B84D-2106-4B3F-A1B7-BB2C2B2CBCA2}"/>
    <hyperlink ref="A47" location="'FW nonmetal nonplant_WS'!D361" display="'FW nonmetal nonplant_WS'!D361" xr:uid="{10A52152-D5BC-4474-AC4B-D594677AEA84}"/>
    <hyperlink ref="A35" location="'FW nonmetal nonplant_WS'!D373" display="'FW nonmetal nonplant_WS'!D373" xr:uid="{171C9A8E-3991-4888-B071-0E58ABC45824}"/>
    <hyperlink ref="A37" location="'FW nonmetal nonplant_WS'!D379" display="'FW nonmetal nonplant_WS'!D379" xr:uid="{9B31A0AA-F3E5-4D09-A8B6-9C93E2F00A51}"/>
    <hyperlink ref="A29" location="'FW nonmetal nonplant_WS'!D385" display="'FW nonmetal nonplant_WS'!D385" xr:uid="{69CA8677-2882-445A-BA82-55FB6239019D}"/>
    <hyperlink ref="A31" location="'FW nonmetal nonplant_WS'!D394" display="'FW nonmetal nonplant_WS'!D394" xr:uid="{2CF1D94E-6A95-4428-81D1-4EE5F8E0E7C5}"/>
    <hyperlink ref="A70" location="'FW nonmetal nonplant_WS'!D37" display="'FW nonmetal nonplant_WS'!D37" xr:uid="{85BBC270-EECB-49CB-80FA-35A5B12FC9E1}"/>
    <hyperlink ref="A74" location="'FW nonmetal nonplant_WS'!D40" display="'FW nonmetal nonplant_WS'!D40" xr:uid="{AE0B7582-60AE-49AD-ABD9-6321FE3E6B84}"/>
    <hyperlink ref="A78" location="'FW nonmetal nonplant_WS'!D43" display="'FW nonmetal nonplant_WS'!D43" xr:uid="{1B8718C4-DF50-4E28-BC3E-B93BCC79BD4A}"/>
    <hyperlink ref="A71" location="'FW nonmetal nonplant_WS'!D46" display="'FW nonmetal nonplant_WS'!D46" xr:uid="{08687A88-A9AB-4B4E-8629-3A1F4AFB03A4}"/>
    <hyperlink ref="A75" location="'FW nonmetal nonplant_WS'!D49" display="'FW nonmetal nonplant_WS'!D49" xr:uid="{248F83A6-55A2-4B55-ADAF-F7CCF52764F5}"/>
    <hyperlink ref="A79" location="'FW nonmetal nonplant_WS'!D52" display="'FW nonmetal nonplant_WS'!D52" xr:uid="{8F5F8B05-49A9-4815-8362-A202731EE0D8}"/>
    <hyperlink ref="A65" location="'FW nonmetal nonplant_WS'!D55" display="'FW nonmetal nonplant_WS'!D55" xr:uid="{546632F2-99C8-4086-AE9D-07FA48205A08}"/>
    <hyperlink ref="A68" location="'FW nonmetal nonplant_WS'!D58" display="'FW nonmetal nonplant_WS'!D58" xr:uid="{02008761-387C-4A88-8B58-4EE93FDA9EF7}"/>
    <hyperlink ref="A72" location="'FW nonmetal nonplant_WS'!D61" display="'FW nonmetal nonplant_WS'!D61" xr:uid="{3D881D93-2BCB-4CD0-9993-126EE4CD8298}"/>
    <hyperlink ref="A76" location="'FW nonmetal nonplant_WS'!D64" display="'FW nonmetal nonplant_WS'!D64" xr:uid="{FF7DC040-824B-40C1-BE4F-CEB1FAD36E69}"/>
    <hyperlink ref="A80" location="'FW nonmetal nonplant_WS'!D67" display="'FW nonmetal nonplant_WS'!D67" xr:uid="{1DEE5A9E-0AEF-48F6-B405-176DCB272D2F}"/>
    <hyperlink ref="A98" location="'FW nonmetal nonplant_WS'!D70" display="'FW nonmetal nonplant_WS'!D70" xr:uid="{09F0658D-C63C-4A8A-9919-14B7F0212992}"/>
    <hyperlink ref="A92" location="'FW nonmetal nonplant_WS'!D73" display="'FW nonmetal nonplant_WS'!D73" xr:uid="{8E4D0769-760A-4555-8743-16835C464E3C}"/>
    <hyperlink ref="A94" location="'FW nonmetal nonplant_WS'!D76" display="'FW nonmetal nonplant_WS'!D76" xr:uid="{E66E1D60-A6D0-4576-A897-26C522F1C538}"/>
    <hyperlink ref="A95" location="'FW nonmetal nonplant_WS'!D79" display="'FW nonmetal nonplant_WS'!D79" xr:uid="{7A3DB9C6-6C98-4804-A5A1-B10CE7E7956B}"/>
    <hyperlink ref="A60" location="'FW nonmetal nonplant_WS'!D82" display="'FW nonmetal nonplant_WS'!D82" xr:uid="{9479A781-08A9-4B8D-9A1A-C1C4EAEDDD42}"/>
    <hyperlink ref="A61" location="'FW nonmetal nonplant_WS'!D85" display="'FW nonmetal nonplant_WS'!D85" xr:uid="{079A667C-AF33-4451-9E41-CF973D23364C}"/>
    <hyperlink ref="A62" location="'FW nonmetal nonplant_WS'!D88" display="'FW nonmetal nonplant_WS'!D88" xr:uid="{00164B49-447E-4DD4-B766-F06A1542224F}"/>
    <hyperlink ref="A102" location="'FW nonmetal nonplant_WS'!D142" display="'FW nonmetal nonplant_WS'!D142" xr:uid="{C7F3AB11-B943-4AC5-BBB8-BFFF4E2857F5}"/>
    <hyperlink ref="A108" location="'FW nonmetal nonplant_WS'!D145" display="'FW nonmetal nonplant_WS'!D145" xr:uid="{1D2969BB-B4F4-4E5D-910A-B31E59F83444}"/>
    <hyperlink ref="A111" location="'FW nonmetal nonplant_WS'!D148" display="'FW nonmetal nonplant_WS'!D148" xr:uid="{7A756F30-1EA6-4206-9E17-1D4B1D68B246}"/>
    <hyperlink ref="A64" location="'FW nonmetal nonplant_WS'!D151" display="'FW nonmetal nonplant_WS'!D151" xr:uid="{09843BDD-854A-44F4-A8D2-EDEA53942872}"/>
    <hyperlink ref="A109" location="'FW nonmetal nonplant_WS'!D271" display="'FW nonmetal nonplant_WS'!D271" xr:uid="{8C359732-B890-4925-A7C5-E22C939B93D8}"/>
    <hyperlink ref="A63" location="'FW nonmetal nonplant_WS'!D277" display="'FW nonmetal nonplant_WS'!D277" xr:uid="{0D5149E9-2A78-4A4E-8597-DA62BBDE9003}"/>
    <hyperlink ref="A107" location="'FW nonmetal nonplant_WS'!D280" display="'FW nonmetal nonplant_WS'!D280" xr:uid="{CC18A172-23AD-43A4-8BBB-C09A036C487A}"/>
    <hyperlink ref="A100" location="'FW nonmetal nonplant_WS'!D283" display="'FW nonmetal nonplant_WS'!D283" xr:uid="{C8A94BD3-9594-4E0D-9584-61518FA34A04}"/>
    <hyperlink ref="A99" location="'FW nonmetal nonplant_WS'!D289" display="248-4" xr:uid="{5DCB54C9-6882-4BC2-9292-D019EFBDD3F5}"/>
    <hyperlink ref="A83" location="'FW nonmetal nonplant_WS'!D295" display="'FW nonmetal nonplant_WS'!D295" xr:uid="{3B37F625-22F6-4605-B00A-668B924A593B}"/>
    <hyperlink ref="A87" location="'FW nonmetal nonplant_WS'!D298" display="'FW nonmetal nonplant_WS'!D298" xr:uid="{60DE03D8-030C-49B3-8AC0-AD9153BD5700}"/>
    <hyperlink ref="A96" location="'FW nonmetal nonplant_WS'!D340" display="'FW nonmetal nonplant_WS'!D340" xr:uid="{1E22EF8C-E1D6-4EA1-8109-42D85614291E}"/>
    <hyperlink ref="A97" location="'FW nonmetal nonplant_WS'!D343" display="'FW nonmetal nonplant_WS'!D343" xr:uid="{C1A1F1CE-402D-4E41-8C1A-7DBE31908DFB}"/>
    <hyperlink ref="A66" location="'FW nonmetal nonplant_WS'!D22" display="'FW nonmetal nonplant_WS'!D22" xr:uid="{23C03A0C-4C08-4419-8C92-4B1C696932F4}"/>
    <hyperlink ref="A69" location="'FW nonmetal nonplant_WS'!D25" display="'FW nonmetal nonplant_WS'!D25" xr:uid="{0042C56F-D2FC-48EB-B689-F3ED78E8CFC9}"/>
    <hyperlink ref="A73" location="'FW nonmetal nonplant_WS'!D28" display="'FW nonmetal nonplant_WS'!D28" xr:uid="{0556413B-5F84-46BB-B3AC-7773FBA6A0ED}"/>
    <hyperlink ref="A77" location="'FW nonmetal nonplant_WS'!D31" display="'FW nonmetal nonplant_WS'!D31" xr:uid="{2269B1CF-4FA7-4544-9720-861515FC4BD5}"/>
    <hyperlink ref="A67" location="'FW nonmetal nonplant_WS'!D34" display="'FW nonmetal nonplant_WS'!D34" xr:uid="{B3D41E44-62CF-48CA-B955-1B23D30ADC18}"/>
    <hyperlink ref="A142" location="'FW nonmetal nonplant_WS'!D256" display="'FW nonmetal nonplant_WS'!D256" xr:uid="{30270F12-DFF3-4980-933A-3441A9C5470A}"/>
    <hyperlink ref="A135" location="'FW nonmetal nonplant_WS'!D229" display="'FW nonmetal nonplant_WS'!D229" xr:uid="{6444EE6E-1934-4F65-91F0-DB434B078079}"/>
    <hyperlink ref="A128" location="'FW nonmetal nonplant_WS'!D232" display="'FW nonmetal nonplant_WS'!D232" xr:uid="{9510F873-1A84-4178-B404-9ADA02A3CA18}"/>
    <hyperlink ref="A136" location="'FW nonmetal nonplant_WS'!D232" display="'FW nonmetal nonplant_WS'!D232" xr:uid="{DF85C698-5282-4221-9846-29753C6535F7}"/>
    <hyperlink ref="A38" location="'FW nonmetal nonplant_WS'!D418" display="'FW nonmetal nonplant_WS'!D418" xr:uid="{025BE0D0-73CB-4409-810E-42C041395A91}"/>
    <hyperlink ref="A39" location="'FW nonmetal nonplant_WS'!D421" display="'FW nonmetal nonplant_WS'!D421" xr:uid="{D04D76A6-1139-4158-8D65-D0F9BFC82754}"/>
    <hyperlink ref="A19" location="'FW nonmetal nonplant_WS'!D271" display="'FW nonmetal nonplant_WS'!D271" xr:uid="{7B2705BC-1A6C-4085-B94E-BF39E9959218}"/>
    <hyperlink ref="A84" location="'FW nonmetal nonplant_WS'!D295" display="'FW nonmetal nonplant_WS'!D295" xr:uid="{55AE7200-8DF0-44BB-B250-0C2A3ED5FC6E}"/>
    <hyperlink ref="A88" location="'FW nonmetal nonplant_WS'!D298" display="'FW nonmetal nonplant_WS'!D298" xr:uid="{472CECD4-B8CF-459A-86FA-9F60A890FD0B}"/>
    <hyperlink ref="A49" location="'FW nonmetal nonplant_WS'!D337" display="'FW nonmetal nonplant_WS'!D337" xr:uid="{539CBD3F-C013-4CD4-824A-F119DD4E1B67}"/>
    <hyperlink ref="A48" location="'FW nonmetal nonplant_WS'!D364" display="'FW nonmetal nonplant_WS'!D364" xr:uid="{1F7A70D1-A290-49BB-9CC5-3CC3A599E1DF}"/>
    <hyperlink ref="A30" location="'FW nonmetal nonplant_WS'!D388" display="'FW nonmetal nonplant_WS'!D388" xr:uid="{5A182AC5-A244-47E5-B6BE-13F38DE62C0E}"/>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068B-F583-43F8-8D31-CD645FBACC94}">
  <dimension ref="A1:CM304"/>
  <sheetViews>
    <sheetView zoomScale="80" zoomScaleNormal="80" workbookViewId="0">
      <selection activeCell="A2" sqref="A2"/>
    </sheetView>
  </sheetViews>
  <sheetFormatPr baseColWidth="10" defaultColWidth="9.1640625" defaultRowHeight="15" x14ac:dyDescent="0.2"/>
  <cols>
    <col min="1" max="1" width="13.83203125" customWidth="1"/>
    <col min="2" max="2" width="9" customWidth="1"/>
    <col min="3" max="3" width="13" customWidth="1"/>
    <col min="4" max="4" width="32.33203125" customWidth="1"/>
    <col min="5" max="5" width="12.1640625" customWidth="1"/>
    <col min="6" max="6" width="22.6640625" customWidth="1"/>
    <col min="7" max="8" width="15.1640625" customWidth="1"/>
    <col min="9" max="9" width="22.5" customWidth="1"/>
    <col min="10" max="10" width="19.6640625" customWidth="1"/>
    <col min="11" max="11" width="40.5" bestFit="1" customWidth="1"/>
    <col min="12" max="15" width="12.1640625" customWidth="1"/>
    <col min="16" max="16" width="12.6640625" customWidth="1"/>
    <col min="17" max="17" width="18.83203125" bestFit="1" customWidth="1"/>
    <col min="18" max="18" width="17.6640625" customWidth="1"/>
    <col min="19" max="19" width="12.6640625" customWidth="1"/>
    <col min="20" max="20" width="20.5" customWidth="1"/>
    <col min="21" max="22" width="12.6640625" customWidth="1"/>
    <col min="23" max="23" width="13.6640625" customWidth="1"/>
    <col min="24" max="25" width="19" customWidth="1"/>
    <col min="26" max="27" width="18.5" customWidth="1"/>
    <col min="29" max="30" width="9.1640625" style="16"/>
    <col min="31" max="31" width="9.1640625" style="51"/>
    <col min="55" max="55" width="11.83203125" bestFit="1" customWidth="1"/>
    <col min="57" max="57" width="12.5" bestFit="1" customWidth="1"/>
  </cols>
  <sheetData>
    <row r="1" spans="1:72" x14ac:dyDescent="0.2">
      <c r="A1" s="175" t="s">
        <v>960</v>
      </c>
      <c r="B1" s="175" t="s">
        <v>961</v>
      </c>
    </row>
    <row r="2" spans="1:72" x14ac:dyDescent="0.2">
      <c r="A2" s="457" t="s">
        <v>963</v>
      </c>
      <c r="AF2" s="439" t="s">
        <v>439</v>
      </c>
      <c r="AG2" s="439"/>
      <c r="AH2" s="439"/>
      <c r="AI2" s="439"/>
      <c r="AJ2" s="439"/>
      <c r="AK2" s="439"/>
      <c r="AM2" s="440" t="s">
        <v>440</v>
      </c>
      <c r="AN2" s="440"/>
      <c r="AO2" s="440"/>
      <c r="AP2" s="440"/>
      <c r="AQ2" s="440"/>
      <c r="AR2" s="440"/>
      <c r="AS2" s="440"/>
      <c r="AT2" s="440"/>
      <c r="AU2" s="50"/>
      <c r="AV2" s="441" t="s">
        <v>441</v>
      </c>
      <c r="AW2" s="441"/>
      <c r="AX2" s="441"/>
      <c r="AY2" s="441"/>
      <c r="AZ2" s="210"/>
    </row>
    <row r="3" spans="1:72" ht="15" customHeight="1" x14ac:dyDescent="0.2">
      <c r="AF3" s="439"/>
      <c r="AG3" s="439"/>
      <c r="AH3" s="439"/>
      <c r="AI3" s="439"/>
      <c r="AJ3" s="439"/>
      <c r="AK3" s="439"/>
      <c r="AM3" s="443" t="s">
        <v>442</v>
      </c>
      <c r="AN3" s="443"/>
      <c r="AO3" s="444" t="s">
        <v>443</v>
      </c>
      <c r="AP3" s="444"/>
      <c r="AQ3" s="443" t="s">
        <v>444</v>
      </c>
      <c r="AR3" s="443"/>
      <c r="AS3" s="444" t="s">
        <v>445</v>
      </c>
      <c r="AT3" s="444"/>
      <c r="AU3" s="51"/>
      <c r="AV3" s="441"/>
      <c r="AW3" s="441"/>
      <c r="AX3" s="441"/>
      <c r="AY3" s="441"/>
      <c r="AZ3" s="210"/>
      <c r="BC3" s="52"/>
      <c r="BD3" s="52"/>
      <c r="BE3" s="52"/>
    </row>
    <row r="4" spans="1:72" s="7" customFormat="1" ht="100.5" customHeight="1" x14ac:dyDescent="0.2">
      <c r="A4" s="1" t="s">
        <v>0</v>
      </c>
      <c r="B4" s="1" t="s">
        <v>1</v>
      </c>
      <c r="C4" s="2" t="s">
        <v>2</v>
      </c>
      <c r="D4" s="2" t="s">
        <v>3</v>
      </c>
      <c r="E4" s="2" t="s">
        <v>4</v>
      </c>
      <c r="F4" s="2" t="s">
        <v>5</v>
      </c>
      <c r="G4" s="2" t="s">
        <v>6</v>
      </c>
      <c r="H4" s="2" t="s">
        <v>570</v>
      </c>
      <c r="I4" s="2" t="s">
        <v>7</v>
      </c>
      <c r="J4" s="3" t="s">
        <v>8</v>
      </c>
      <c r="K4" s="3" t="s">
        <v>9</v>
      </c>
      <c r="L4" s="3" t="s">
        <v>10</v>
      </c>
      <c r="M4" s="3" t="s">
        <v>11</v>
      </c>
      <c r="N4" s="3" t="s">
        <v>12</v>
      </c>
      <c r="O4" s="3" t="s">
        <v>13</v>
      </c>
      <c r="P4" s="4" t="s">
        <v>14</v>
      </c>
      <c r="Q4" s="4" t="s">
        <v>15</v>
      </c>
      <c r="R4" s="4" t="s">
        <v>498</v>
      </c>
      <c r="S4" s="4" t="s">
        <v>16</v>
      </c>
      <c r="T4" s="4" t="s">
        <v>17</v>
      </c>
      <c r="U4" s="4" t="s">
        <v>18</v>
      </c>
      <c r="V4" s="5" t="s">
        <v>19</v>
      </c>
      <c r="W4" s="5" t="s">
        <v>20</v>
      </c>
      <c r="X4" s="6" t="s">
        <v>21</v>
      </c>
      <c r="Y4" s="5" t="s">
        <v>22</v>
      </c>
      <c r="Z4" s="31" t="s">
        <v>574</v>
      </c>
      <c r="AA4" s="31" t="s">
        <v>591</v>
      </c>
      <c r="AC4" s="92" t="s">
        <v>496</v>
      </c>
      <c r="AD4" s="12" t="s">
        <v>497</v>
      </c>
      <c r="AE4" s="202" t="s">
        <v>592</v>
      </c>
      <c r="AF4" s="53" t="s">
        <v>446</v>
      </c>
      <c r="AG4" s="31" t="s">
        <v>447</v>
      </c>
      <c r="AH4" s="31" t="s">
        <v>600</v>
      </c>
      <c r="AI4" s="54" t="s">
        <v>448</v>
      </c>
      <c r="AJ4" s="55" t="s">
        <v>449</v>
      </c>
      <c r="AK4" s="56" t="s">
        <v>599</v>
      </c>
      <c r="AL4" s="57"/>
      <c r="AM4" s="58" t="s">
        <v>450</v>
      </c>
      <c r="AN4" s="59" t="s">
        <v>451</v>
      </c>
      <c r="AO4" s="58" t="s">
        <v>452</v>
      </c>
      <c r="AP4" s="59" t="s">
        <v>453</v>
      </c>
      <c r="AQ4" s="60" t="s">
        <v>454</v>
      </c>
      <c r="AR4" s="61" t="s">
        <v>455</v>
      </c>
      <c r="AS4" s="60" t="s">
        <v>456</v>
      </c>
      <c r="AT4" s="61" t="s">
        <v>457</v>
      </c>
      <c r="AU4" s="62"/>
      <c r="AV4" s="56" t="s">
        <v>599</v>
      </c>
      <c r="AW4" s="63" t="s">
        <v>598</v>
      </c>
      <c r="AX4" s="64" t="s">
        <v>597</v>
      </c>
      <c r="AY4" s="65" t="s">
        <v>596</v>
      </c>
      <c r="AZ4" s="210"/>
      <c r="BA4" s="66"/>
      <c r="BC4" s="438" t="s">
        <v>458</v>
      </c>
      <c r="BD4" s="438"/>
      <c r="BE4" s="438"/>
      <c r="BF4" s="438"/>
    </row>
    <row r="5" spans="1:72" s="7" customFormat="1" ht="15" customHeight="1" x14ac:dyDescent="0.2">
      <c r="A5" s="193" t="s">
        <v>593</v>
      </c>
      <c r="B5" s="193"/>
      <c r="C5" s="203"/>
      <c r="D5" s="203"/>
      <c r="E5" s="203"/>
      <c r="F5" s="203"/>
      <c r="G5" s="203"/>
      <c r="H5" s="203"/>
      <c r="I5" s="203"/>
      <c r="J5" s="203"/>
      <c r="K5" s="203"/>
      <c r="L5" s="203"/>
      <c r="M5" s="203"/>
      <c r="N5" s="203"/>
      <c r="O5" s="203"/>
      <c r="P5" s="193"/>
      <c r="Q5" s="193"/>
      <c r="R5" s="193"/>
      <c r="S5" s="193"/>
      <c r="T5" s="193"/>
      <c r="U5" s="193"/>
      <c r="V5" s="193"/>
      <c r="W5" s="193"/>
      <c r="X5" s="193"/>
      <c r="Y5" s="193"/>
      <c r="Z5" s="193"/>
      <c r="AA5" s="193"/>
      <c r="AC5" s="92"/>
      <c r="AD5" s="12"/>
      <c r="AE5" s="202"/>
      <c r="AF5" s="203"/>
      <c r="AG5" s="193"/>
      <c r="AH5" s="193"/>
      <c r="AI5" s="203"/>
      <c r="AJ5" s="193"/>
      <c r="AK5" s="204"/>
      <c r="AL5" s="57"/>
      <c r="AM5" s="203"/>
      <c r="AN5" s="205"/>
      <c r="AO5" s="203"/>
      <c r="AP5" s="205"/>
      <c r="AQ5" s="193"/>
      <c r="AR5" s="62"/>
      <c r="AS5" s="193"/>
      <c r="AT5" s="62"/>
      <c r="AU5" s="62"/>
      <c r="AV5" s="445"/>
      <c r="AW5" s="445"/>
      <c r="AX5" s="445"/>
      <c r="BA5" s="209"/>
      <c r="BB5" s="201"/>
      <c r="BC5" s="208"/>
      <c r="BD5" s="208"/>
      <c r="BE5" s="208"/>
      <c r="BF5" s="208"/>
      <c r="BG5" s="206"/>
      <c r="BH5" s="207"/>
      <c r="BI5" s="209"/>
      <c r="BJ5" s="201"/>
      <c r="BK5" s="206"/>
      <c r="BL5" s="207"/>
      <c r="BM5" s="209"/>
      <c r="BN5" s="201"/>
      <c r="BO5" s="206"/>
      <c r="BP5" s="207"/>
      <c r="BQ5" s="209"/>
      <c r="BR5" s="201"/>
      <c r="BS5" s="206"/>
      <c r="BT5" s="207"/>
    </row>
    <row r="6" spans="1:72" ht="15" customHeight="1" x14ac:dyDescent="0.2">
      <c r="A6" s="32" t="s">
        <v>48</v>
      </c>
      <c r="B6" s="33">
        <v>236</v>
      </c>
      <c r="C6" s="34" t="s">
        <v>24</v>
      </c>
      <c r="D6" s="35" t="s">
        <v>49</v>
      </c>
      <c r="E6" s="33" t="s">
        <v>50</v>
      </c>
      <c r="F6" s="33" t="s">
        <v>51</v>
      </c>
      <c r="G6" s="33" t="s">
        <v>52</v>
      </c>
      <c r="H6" s="33" t="s">
        <v>571</v>
      </c>
      <c r="I6" s="36" t="s">
        <v>37</v>
      </c>
      <c r="J6" s="36" t="s">
        <v>53</v>
      </c>
      <c r="K6" s="36" t="s">
        <v>53</v>
      </c>
      <c r="L6" s="36" t="s">
        <v>54</v>
      </c>
      <c r="M6" s="36">
        <v>30</v>
      </c>
      <c r="N6" s="33" t="s">
        <v>55</v>
      </c>
      <c r="O6" s="37" t="s">
        <v>33</v>
      </c>
      <c r="P6" s="38" t="s">
        <v>56</v>
      </c>
      <c r="Q6" s="33" t="s">
        <v>57</v>
      </c>
      <c r="R6" s="40">
        <v>15.1</v>
      </c>
      <c r="S6" s="33" t="s">
        <v>58</v>
      </c>
      <c r="T6" s="33">
        <v>8.11</v>
      </c>
      <c r="U6" s="33">
        <v>3.42</v>
      </c>
      <c r="V6" s="33" t="s">
        <v>37</v>
      </c>
      <c r="W6" s="33">
        <v>20</v>
      </c>
      <c r="X6" s="40">
        <v>20</v>
      </c>
      <c r="Y6" s="40">
        <f t="shared" ref="Y6:Y7" si="0">X6/((U6/100)*1000)</f>
        <v>0.58479532163742687</v>
      </c>
      <c r="Z6" s="40">
        <f t="shared" ref="Z6:Z19" si="1">Y6/((0.0278/(1+AC6))+(1.1994/(1+AD6)))</f>
        <v>1.6734482467670493</v>
      </c>
      <c r="AA6" s="40">
        <f>POWER(10,LOG(Z6)-(-0.028*(R6-AE6)))</f>
        <v>2.3249428714636013</v>
      </c>
      <c r="AC6" s="16">
        <f t="shared" ref="AC6:AC19" si="2">POWER(10,7.688-T6)</f>
        <v>0.37844258471709358</v>
      </c>
      <c r="AD6" s="26">
        <f t="shared" ref="AD6:AD19" si="3">POWER(10,T6-7.688)</f>
        <v>2.6424087573219448</v>
      </c>
      <c r="AE6" s="51">
        <v>10</v>
      </c>
      <c r="AF6" s="85" t="str">
        <f t="shared" ref="AF6:AF19" si="4">L6</f>
        <v>NOEC</v>
      </c>
      <c r="AG6" s="9">
        <f t="shared" ref="AG6:AG19" si="5">VLOOKUP(AF6,$BD$6:$BE$17,2,FALSE)</f>
        <v>1</v>
      </c>
      <c r="AH6" s="18">
        <f t="shared" ref="AH6:AH19" si="6">AA6/AG6</f>
        <v>2.3249428714636013</v>
      </c>
      <c r="AI6" s="88" t="str">
        <f t="shared" ref="AI6:AI19" si="7">O6</f>
        <v>Chronic</v>
      </c>
      <c r="AJ6" s="9">
        <f t="shared" ref="AJ6:AJ19" si="8">VLOOKUP(AI6,$BD$19:$BF$20,2,FALSE)</f>
        <v>1</v>
      </c>
      <c r="AK6" s="18">
        <f t="shared" ref="AK6:AK19" si="9">AH6/AJ6</f>
        <v>2.3249428714636013</v>
      </c>
      <c r="AL6" s="16"/>
      <c r="AM6" s="127" t="str">
        <f t="shared" ref="AM6:AM19" si="10">L6</f>
        <v>NOEC</v>
      </c>
      <c r="AN6" s="128" t="s">
        <v>356</v>
      </c>
      <c r="AO6" s="129" t="str">
        <f t="shared" ref="AO6:AO19" si="11">O6</f>
        <v>Chronic</v>
      </c>
      <c r="AP6" s="128" t="str">
        <f>IF(AO6="chronic","y","n")</f>
        <v>y</v>
      </c>
      <c r="AQ6" s="130" t="str">
        <f t="shared" ref="AQ6:AQ19" si="12">K6</f>
        <v>Mortality</v>
      </c>
      <c r="AR6" s="128" t="s">
        <v>459</v>
      </c>
      <c r="AS6" s="131">
        <f t="shared" ref="AS6:AS19" si="13">M6</f>
        <v>30</v>
      </c>
      <c r="AT6" s="128" t="s">
        <v>460</v>
      </c>
      <c r="AU6" s="128"/>
      <c r="AV6" s="189">
        <f t="shared" ref="AV6:AV12" si="14">AK6</f>
        <v>2.3249428714636013</v>
      </c>
      <c r="AW6" s="144">
        <f>GEOMEAN(AV6)</f>
        <v>2.3249428714636013</v>
      </c>
      <c r="AX6" s="148">
        <f>MIN(AW6)</f>
        <v>2.3249428714636013</v>
      </c>
      <c r="AY6" s="149">
        <f>MIN(AX6)</f>
        <v>2.3249428714636013</v>
      </c>
      <c r="AZ6" s="206" t="str">
        <f>A5</f>
        <v>10°C</v>
      </c>
      <c r="BC6" s="16"/>
      <c r="BD6" s="87" t="s">
        <v>31</v>
      </c>
      <c r="BE6" s="87">
        <v>1</v>
      </c>
      <c r="BF6" s="87" t="s">
        <v>462</v>
      </c>
    </row>
    <row r="7" spans="1:72" ht="15" customHeight="1" x14ac:dyDescent="0.2">
      <c r="A7" s="19" t="s">
        <v>59</v>
      </c>
      <c r="B7" s="9">
        <v>245</v>
      </c>
      <c r="C7" s="10" t="s">
        <v>24</v>
      </c>
      <c r="D7" s="11" t="s">
        <v>60</v>
      </c>
      <c r="E7" s="20" t="s">
        <v>61</v>
      </c>
      <c r="F7" s="9" t="s">
        <v>62</v>
      </c>
      <c r="G7" s="9" t="s">
        <v>52</v>
      </c>
      <c r="H7" s="9" t="s">
        <v>571</v>
      </c>
      <c r="I7" s="12" t="s">
        <v>63</v>
      </c>
      <c r="J7" s="12" t="s">
        <v>64</v>
      </c>
      <c r="K7" s="12" t="s">
        <v>64</v>
      </c>
      <c r="L7" s="12" t="s">
        <v>54</v>
      </c>
      <c r="M7" s="12">
        <v>7</v>
      </c>
      <c r="N7" s="9" t="s">
        <v>55</v>
      </c>
      <c r="O7" s="21" t="s">
        <v>33</v>
      </c>
      <c r="P7" s="14" t="s">
        <v>65</v>
      </c>
      <c r="Q7" s="9">
        <v>25</v>
      </c>
      <c r="R7" s="9">
        <v>25</v>
      </c>
      <c r="S7" s="22">
        <v>8</v>
      </c>
      <c r="T7" s="22">
        <v>8</v>
      </c>
      <c r="U7" s="20">
        <v>5.3659999999999997</v>
      </c>
      <c r="V7" s="20" t="s">
        <v>37</v>
      </c>
      <c r="W7" s="20">
        <v>680</v>
      </c>
      <c r="X7" s="9">
        <v>680</v>
      </c>
      <c r="Y7" s="27">
        <f t="shared" si="0"/>
        <v>12.672381662318301</v>
      </c>
      <c r="Z7" s="15">
        <f t="shared" si="1"/>
        <v>30.774279778328605</v>
      </c>
      <c r="AA7" s="15">
        <f t="shared" ref="AA7:AA19" si="15">POWER(10,LOG(Z7)-(-0.028*(R7-AE7)))</f>
        <v>80.94460307457102</v>
      </c>
      <c r="AC7" s="16">
        <f t="shared" si="2"/>
        <v>0.48752849010338595</v>
      </c>
      <c r="AD7" s="26">
        <f t="shared" si="3"/>
        <v>2.051162178825567</v>
      </c>
      <c r="AE7" s="51">
        <v>10</v>
      </c>
      <c r="AF7" s="85" t="str">
        <f t="shared" si="4"/>
        <v>NOEC</v>
      </c>
      <c r="AG7" s="9">
        <f t="shared" si="5"/>
        <v>1</v>
      </c>
      <c r="AH7" s="18">
        <f t="shared" si="6"/>
        <v>80.94460307457102</v>
      </c>
      <c r="AI7" s="88" t="str">
        <f t="shared" si="7"/>
        <v>Chronic</v>
      </c>
      <c r="AJ7" s="9">
        <f t="shared" si="8"/>
        <v>1</v>
      </c>
      <c r="AK7" s="18">
        <f t="shared" si="9"/>
        <v>80.94460307457102</v>
      </c>
      <c r="AL7" s="16"/>
      <c r="AM7" s="101" t="str">
        <f t="shared" si="10"/>
        <v>NOEC</v>
      </c>
      <c r="AN7" s="102" t="s">
        <v>356</v>
      </c>
      <c r="AO7" s="103" t="str">
        <f t="shared" si="11"/>
        <v>Chronic</v>
      </c>
      <c r="AP7" s="102" t="str">
        <f t="shared" ref="AP7:AP19" si="16">IF(AO7="chronic","y","n")</f>
        <v>y</v>
      </c>
      <c r="AQ7" s="104" t="str">
        <f t="shared" si="12"/>
        <v>Reproduction</v>
      </c>
      <c r="AR7" s="102" t="s">
        <v>459</v>
      </c>
      <c r="AS7" s="105">
        <f t="shared" si="13"/>
        <v>7</v>
      </c>
      <c r="AT7" s="102" t="s">
        <v>460</v>
      </c>
      <c r="AU7" s="102"/>
      <c r="AV7" s="106">
        <f t="shared" si="14"/>
        <v>80.94460307457102</v>
      </c>
      <c r="AW7" s="107">
        <f>GEOMEAN(AV7:AV7)</f>
        <v>80.94460307457102</v>
      </c>
      <c r="AX7" s="108">
        <f>MIN(AW7:AW7)</f>
        <v>80.94460307457102</v>
      </c>
      <c r="AY7" s="109">
        <f>MIN(AX7)</f>
        <v>80.94460307457102</v>
      </c>
      <c r="AZ7" s="15"/>
      <c r="BD7" s="87" t="s">
        <v>465</v>
      </c>
      <c r="BE7" s="87">
        <v>1</v>
      </c>
      <c r="BF7" s="87" t="s">
        <v>462</v>
      </c>
    </row>
    <row r="8" spans="1:72" ht="15" customHeight="1" x14ac:dyDescent="0.2">
      <c r="A8" s="32" t="s">
        <v>82</v>
      </c>
      <c r="B8" s="33">
        <v>240</v>
      </c>
      <c r="C8" s="34" t="s">
        <v>24</v>
      </c>
      <c r="D8" s="35" t="s">
        <v>77</v>
      </c>
      <c r="E8" s="33" t="s">
        <v>61</v>
      </c>
      <c r="F8" s="33" t="s">
        <v>62</v>
      </c>
      <c r="G8" s="33" t="s">
        <v>52</v>
      </c>
      <c r="H8" s="33" t="s">
        <v>571</v>
      </c>
      <c r="I8" s="36" t="s">
        <v>78</v>
      </c>
      <c r="J8" s="36" t="s">
        <v>83</v>
      </c>
      <c r="K8" s="36" t="s">
        <v>84</v>
      </c>
      <c r="L8" s="36" t="s">
        <v>54</v>
      </c>
      <c r="M8" s="36">
        <v>21</v>
      </c>
      <c r="N8" s="33" t="s">
        <v>55</v>
      </c>
      <c r="O8" s="37" t="s">
        <v>33</v>
      </c>
      <c r="P8" s="38" t="s">
        <v>79</v>
      </c>
      <c r="Q8" s="33" t="s">
        <v>80</v>
      </c>
      <c r="R8" s="40">
        <v>19.8</v>
      </c>
      <c r="S8" s="33" t="s">
        <v>81</v>
      </c>
      <c r="T8" s="33">
        <v>8.4499999999999993</v>
      </c>
      <c r="U8" s="33">
        <v>9.9039999999999999</v>
      </c>
      <c r="V8" s="44" t="s">
        <v>37</v>
      </c>
      <c r="W8" s="44" t="s">
        <v>37</v>
      </c>
      <c r="X8" s="33">
        <v>420</v>
      </c>
      <c r="Y8" s="40">
        <f t="shared" ref="Y8:Y10" si="17">X8/((U8/100)*1000)</f>
        <v>4.2407108239095308</v>
      </c>
      <c r="Z8" s="40">
        <f t="shared" si="1"/>
        <v>21.142464693435951</v>
      </c>
      <c r="AA8" s="40">
        <f t="shared" si="15"/>
        <v>39.770002109303348</v>
      </c>
      <c r="AC8" s="16">
        <f t="shared" si="2"/>
        <v>0.17298163592151028</v>
      </c>
      <c r="AD8" s="26">
        <f t="shared" si="3"/>
        <v>5.7809604740571769</v>
      </c>
      <c r="AE8" s="51">
        <v>10</v>
      </c>
      <c r="AF8" s="85" t="str">
        <f t="shared" si="4"/>
        <v>NOEC</v>
      </c>
      <c r="AG8" s="9">
        <f t="shared" si="5"/>
        <v>1</v>
      </c>
      <c r="AH8" s="18">
        <f t="shared" si="6"/>
        <v>39.770002109303348</v>
      </c>
      <c r="AI8" s="88" t="str">
        <f t="shared" si="7"/>
        <v>Chronic</v>
      </c>
      <c r="AJ8" s="9">
        <f t="shared" si="8"/>
        <v>1</v>
      </c>
      <c r="AK8" s="18">
        <f t="shared" si="9"/>
        <v>39.770002109303348</v>
      </c>
      <c r="AL8" s="16"/>
      <c r="AM8" s="101" t="str">
        <f t="shared" si="10"/>
        <v>NOEC</v>
      </c>
      <c r="AN8" s="102" t="s">
        <v>356</v>
      </c>
      <c r="AO8" s="103" t="str">
        <f t="shared" si="11"/>
        <v>Chronic</v>
      </c>
      <c r="AP8" s="102" t="str">
        <f t="shared" si="16"/>
        <v>y</v>
      </c>
      <c r="AQ8" s="104" t="str">
        <f t="shared" si="12"/>
        <v>Mean total young/daphnid</v>
      </c>
      <c r="AR8" s="102" t="s">
        <v>459</v>
      </c>
      <c r="AS8" s="105">
        <f t="shared" si="13"/>
        <v>21</v>
      </c>
      <c r="AT8" s="102" t="s">
        <v>460</v>
      </c>
      <c r="AU8" s="102"/>
      <c r="AV8" s="147">
        <f t="shared" si="14"/>
        <v>39.770002109303348</v>
      </c>
      <c r="AW8" s="107">
        <f>GEOMEAN(AV8:AV8)</f>
        <v>39.770002109303348</v>
      </c>
      <c r="AX8" s="108">
        <f>MIN(AW8)</f>
        <v>39.770002109303348</v>
      </c>
      <c r="AY8" s="109"/>
      <c r="AZ8" s="15"/>
      <c r="BD8" s="71" t="s">
        <v>54</v>
      </c>
      <c r="BE8" s="71">
        <v>1</v>
      </c>
      <c r="BF8" s="71" t="s">
        <v>462</v>
      </c>
    </row>
    <row r="9" spans="1:72" ht="15" customHeight="1" x14ac:dyDescent="0.2">
      <c r="A9" s="32" t="s">
        <v>87</v>
      </c>
      <c r="B9" s="33">
        <v>240</v>
      </c>
      <c r="C9" s="34" t="s">
        <v>24</v>
      </c>
      <c r="D9" s="35" t="s">
        <v>77</v>
      </c>
      <c r="E9" s="33" t="s">
        <v>61</v>
      </c>
      <c r="F9" s="33" t="s">
        <v>62</v>
      </c>
      <c r="G9" s="33" t="s">
        <v>52</v>
      </c>
      <c r="H9" s="33" t="s">
        <v>571</v>
      </c>
      <c r="I9" s="36" t="s">
        <v>78</v>
      </c>
      <c r="J9" s="36" t="s">
        <v>83</v>
      </c>
      <c r="K9" s="36" t="s">
        <v>88</v>
      </c>
      <c r="L9" s="36" t="s">
        <v>54</v>
      </c>
      <c r="M9" s="36">
        <v>21</v>
      </c>
      <c r="N9" s="33" t="s">
        <v>55</v>
      </c>
      <c r="O9" s="37" t="s">
        <v>33</v>
      </c>
      <c r="P9" s="38" t="s">
        <v>79</v>
      </c>
      <c r="Q9" s="33" t="s">
        <v>80</v>
      </c>
      <c r="R9" s="40">
        <v>19.8</v>
      </c>
      <c r="S9" s="33" t="s">
        <v>81</v>
      </c>
      <c r="T9" s="33">
        <v>8.4499999999999993</v>
      </c>
      <c r="U9" s="33">
        <v>9.9039999999999999</v>
      </c>
      <c r="V9" s="44" t="s">
        <v>37</v>
      </c>
      <c r="W9" s="44" t="s">
        <v>37</v>
      </c>
      <c r="X9" s="33">
        <v>420</v>
      </c>
      <c r="Y9" s="40">
        <f t="shared" si="17"/>
        <v>4.2407108239095308</v>
      </c>
      <c r="Z9" s="40">
        <f t="shared" si="1"/>
        <v>21.142464693435951</v>
      </c>
      <c r="AA9" s="40">
        <f t="shared" si="15"/>
        <v>39.770002109303348</v>
      </c>
      <c r="AC9" s="16">
        <f t="shared" si="2"/>
        <v>0.17298163592151028</v>
      </c>
      <c r="AD9" s="26">
        <f t="shared" si="3"/>
        <v>5.7809604740571769</v>
      </c>
      <c r="AE9" s="51">
        <v>10</v>
      </c>
      <c r="AF9" s="85" t="str">
        <f t="shared" si="4"/>
        <v>NOEC</v>
      </c>
      <c r="AG9" s="9">
        <f t="shared" si="5"/>
        <v>1</v>
      </c>
      <c r="AH9" s="18">
        <f t="shared" si="6"/>
        <v>39.770002109303348</v>
      </c>
      <c r="AI9" s="88" t="str">
        <f t="shared" si="7"/>
        <v>Chronic</v>
      </c>
      <c r="AJ9" s="9">
        <f t="shared" si="8"/>
        <v>1</v>
      </c>
      <c r="AK9" s="18">
        <f t="shared" si="9"/>
        <v>39.770002109303348</v>
      </c>
      <c r="AL9" s="16"/>
      <c r="AM9" s="132" t="str">
        <f t="shared" si="10"/>
        <v>NOEC</v>
      </c>
      <c r="AN9" s="67" t="s">
        <v>356</v>
      </c>
      <c r="AO9" s="88" t="str">
        <f t="shared" si="11"/>
        <v>Chronic</v>
      </c>
      <c r="AP9" s="67" t="str">
        <f t="shared" si="16"/>
        <v>y</v>
      </c>
      <c r="AQ9" s="69" t="str">
        <f t="shared" si="12"/>
        <v>Mean brood size/daphnid</v>
      </c>
      <c r="AR9" s="67" t="s">
        <v>475</v>
      </c>
      <c r="AS9" s="70">
        <f t="shared" si="13"/>
        <v>21</v>
      </c>
      <c r="AT9" s="67" t="s">
        <v>476</v>
      </c>
      <c r="AU9" s="67"/>
      <c r="AV9" s="82">
        <f t="shared" si="14"/>
        <v>39.770002109303348</v>
      </c>
      <c r="AW9" s="81">
        <f>GEOMEAN(AV9:AV9)</f>
        <v>39.770002109303348</v>
      </c>
      <c r="AX9" s="78">
        <f>MIN(AW9)</f>
        <v>39.770002109303348</v>
      </c>
      <c r="AY9" s="133"/>
      <c r="AZ9" s="15"/>
      <c r="BD9" s="71" t="s">
        <v>67</v>
      </c>
      <c r="BE9" s="75">
        <v>2.5</v>
      </c>
      <c r="BF9" s="71" t="s">
        <v>462</v>
      </c>
    </row>
    <row r="10" spans="1:72" ht="15" customHeight="1" x14ac:dyDescent="0.2">
      <c r="A10" s="32" t="s">
        <v>89</v>
      </c>
      <c r="B10" s="33">
        <v>240</v>
      </c>
      <c r="C10" s="34" t="s">
        <v>24</v>
      </c>
      <c r="D10" s="35" t="s">
        <v>77</v>
      </c>
      <c r="E10" s="33" t="s">
        <v>61</v>
      </c>
      <c r="F10" s="33" t="s">
        <v>62</v>
      </c>
      <c r="G10" s="33" t="s">
        <v>52</v>
      </c>
      <c r="H10" s="33" t="s">
        <v>571</v>
      </c>
      <c r="I10" s="36" t="s">
        <v>78</v>
      </c>
      <c r="J10" s="36" t="s">
        <v>53</v>
      </c>
      <c r="K10" s="36" t="s">
        <v>53</v>
      </c>
      <c r="L10" s="36" t="s">
        <v>54</v>
      </c>
      <c r="M10" s="36">
        <v>21</v>
      </c>
      <c r="N10" s="33" t="s">
        <v>55</v>
      </c>
      <c r="O10" s="37" t="s">
        <v>33</v>
      </c>
      <c r="P10" s="38" t="s">
        <v>79</v>
      </c>
      <c r="Q10" s="33" t="s">
        <v>80</v>
      </c>
      <c r="R10" s="40">
        <v>19.8</v>
      </c>
      <c r="S10" s="33" t="s">
        <v>81</v>
      </c>
      <c r="T10" s="33">
        <v>8.4499999999999993</v>
      </c>
      <c r="U10" s="33">
        <v>9.9039999999999999</v>
      </c>
      <c r="V10" s="44" t="s">
        <v>37</v>
      </c>
      <c r="W10" s="44" t="s">
        <v>37</v>
      </c>
      <c r="X10" s="33">
        <v>420</v>
      </c>
      <c r="Y10" s="40">
        <f t="shared" si="17"/>
        <v>4.2407108239095308</v>
      </c>
      <c r="Z10" s="40">
        <f t="shared" si="1"/>
        <v>21.142464693435951</v>
      </c>
      <c r="AA10" s="40">
        <f t="shared" si="15"/>
        <v>39.770002109303348</v>
      </c>
      <c r="AC10" s="16">
        <f t="shared" si="2"/>
        <v>0.17298163592151028</v>
      </c>
      <c r="AD10" s="26">
        <f t="shared" si="3"/>
        <v>5.7809604740571769</v>
      </c>
      <c r="AE10" s="51">
        <v>10</v>
      </c>
      <c r="AF10" s="85" t="str">
        <f t="shared" si="4"/>
        <v>NOEC</v>
      </c>
      <c r="AG10" s="9">
        <f t="shared" si="5"/>
        <v>1</v>
      </c>
      <c r="AH10" s="18">
        <f t="shared" si="6"/>
        <v>39.770002109303348</v>
      </c>
      <c r="AI10" s="88" t="str">
        <f t="shared" si="7"/>
        <v>Chronic</v>
      </c>
      <c r="AJ10" s="9">
        <f t="shared" si="8"/>
        <v>1</v>
      </c>
      <c r="AK10" s="18">
        <f t="shared" si="9"/>
        <v>39.770002109303348</v>
      </c>
      <c r="AL10" s="16"/>
      <c r="AM10" s="110" t="str">
        <f t="shared" si="10"/>
        <v>NOEC</v>
      </c>
      <c r="AN10" s="111" t="s">
        <v>356</v>
      </c>
      <c r="AO10" s="112" t="str">
        <f t="shared" si="11"/>
        <v>Chronic</v>
      </c>
      <c r="AP10" s="111" t="str">
        <f t="shared" si="16"/>
        <v>y</v>
      </c>
      <c r="AQ10" s="134" t="str">
        <f t="shared" si="12"/>
        <v>Mortality</v>
      </c>
      <c r="AR10" s="111" t="s">
        <v>55</v>
      </c>
      <c r="AS10" s="114">
        <f t="shared" si="13"/>
        <v>21</v>
      </c>
      <c r="AT10" s="111" t="s">
        <v>477</v>
      </c>
      <c r="AU10" s="111"/>
      <c r="AV10" s="138">
        <f t="shared" si="14"/>
        <v>39.770002109303348</v>
      </c>
      <c r="AW10" s="135">
        <f>GEOMEAN(AV10:AV10)</f>
        <v>39.770002109303348</v>
      </c>
      <c r="AX10" s="136">
        <f>MIN(AW10)</f>
        <v>39.770002109303348</v>
      </c>
      <c r="AY10" s="137">
        <f>MIN(AX8:AX10)</f>
        <v>39.770002109303348</v>
      </c>
      <c r="AZ10" s="15"/>
      <c r="BD10" s="9" t="s">
        <v>40</v>
      </c>
      <c r="BE10" s="9">
        <v>5</v>
      </c>
      <c r="BF10" s="87" t="s">
        <v>462</v>
      </c>
    </row>
    <row r="11" spans="1:72" x14ac:dyDescent="0.2">
      <c r="A11" s="19" t="s">
        <v>90</v>
      </c>
      <c r="B11" s="23">
        <v>231</v>
      </c>
      <c r="C11" s="10" t="s">
        <v>24</v>
      </c>
      <c r="D11" s="11" t="s">
        <v>91</v>
      </c>
      <c r="E11" s="9" t="s">
        <v>61</v>
      </c>
      <c r="F11" s="9" t="s">
        <v>92</v>
      </c>
      <c r="G11" s="9" t="s">
        <v>93</v>
      </c>
      <c r="H11" s="9" t="s">
        <v>571</v>
      </c>
      <c r="I11" s="9" t="s">
        <v>94</v>
      </c>
      <c r="J11" s="12" t="s">
        <v>53</v>
      </c>
      <c r="K11" s="12" t="s">
        <v>95</v>
      </c>
      <c r="L11" s="12" t="s">
        <v>54</v>
      </c>
      <c r="M11" s="9">
        <v>29</v>
      </c>
      <c r="N11" s="9" t="s">
        <v>55</v>
      </c>
      <c r="O11" s="9" t="s">
        <v>33</v>
      </c>
      <c r="P11" s="14" t="s">
        <v>96</v>
      </c>
      <c r="Q11" s="23">
        <v>15.8</v>
      </c>
      <c r="R11" s="94">
        <v>15.8</v>
      </c>
      <c r="S11" s="9">
        <v>8.3699999999999992</v>
      </c>
      <c r="T11" s="9">
        <v>8.3699999999999992</v>
      </c>
      <c r="U11" s="9">
        <v>6.3609999999999998</v>
      </c>
      <c r="V11" s="9">
        <v>0.94899999999999995</v>
      </c>
      <c r="W11" s="9">
        <v>66</v>
      </c>
      <c r="X11" s="9">
        <v>66</v>
      </c>
      <c r="Y11" s="9">
        <v>0.94899999999999995</v>
      </c>
      <c r="Z11" s="15">
        <f t="shared" si="1"/>
        <v>4.1349303568432507</v>
      </c>
      <c r="AA11" s="15">
        <f t="shared" si="15"/>
        <v>6.0099131953684859</v>
      </c>
      <c r="AC11" s="16">
        <f t="shared" si="2"/>
        <v>0.20796966871036979</v>
      </c>
      <c r="AD11" s="26">
        <f t="shared" si="3"/>
        <v>4.8083934844972802</v>
      </c>
      <c r="AE11" s="51">
        <v>10</v>
      </c>
      <c r="AF11" s="85" t="str">
        <f t="shared" si="4"/>
        <v>NOEC</v>
      </c>
      <c r="AG11" s="9">
        <f t="shared" si="5"/>
        <v>1</v>
      </c>
      <c r="AH11" s="18">
        <f t="shared" si="6"/>
        <v>6.0099131953684859</v>
      </c>
      <c r="AI11" s="88" t="str">
        <f t="shared" si="7"/>
        <v>Chronic</v>
      </c>
      <c r="AJ11" s="9">
        <f t="shared" si="8"/>
        <v>1</v>
      </c>
      <c r="AK11" s="18">
        <f t="shared" si="9"/>
        <v>6.0099131953684859</v>
      </c>
      <c r="AL11" s="16"/>
      <c r="AM11" s="127" t="str">
        <f t="shared" si="10"/>
        <v>NOEC</v>
      </c>
      <c r="AN11" s="128" t="s">
        <v>356</v>
      </c>
      <c r="AO11" s="129" t="str">
        <f t="shared" si="11"/>
        <v>Chronic</v>
      </c>
      <c r="AP11" s="128" t="str">
        <f t="shared" si="16"/>
        <v>y</v>
      </c>
      <c r="AQ11" s="130" t="str">
        <f t="shared" si="12"/>
        <v>Mortality (of juvenile Deleatidium sp.)</v>
      </c>
      <c r="AR11" s="128" t="s">
        <v>459</v>
      </c>
      <c r="AS11" s="131">
        <f t="shared" si="13"/>
        <v>29</v>
      </c>
      <c r="AT11" s="128" t="s">
        <v>460</v>
      </c>
      <c r="AU11" s="128"/>
      <c r="AV11" s="143">
        <f t="shared" si="14"/>
        <v>6.0099131953684859</v>
      </c>
      <c r="AW11" s="144">
        <f t="shared" ref="AW11:AW12" si="18">GEOMEAN(AV11:AV11)</f>
        <v>6.0099131953684859</v>
      </c>
      <c r="AX11" s="141">
        <f>MIN(AW11)</f>
        <v>6.0099131953684859</v>
      </c>
      <c r="AY11" s="142">
        <f>MIN(AX11:AX11)</f>
        <v>6.0099131953684859</v>
      </c>
      <c r="AZ11" s="15"/>
      <c r="BD11" s="87" t="s">
        <v>112</v>
      </c>
      <c r="BE11" s="97">
        <v>5</v>
      </c>
    </row>
    <row r="12" spans="1:72" ht="15" customHeight="1" x14ac:dyDescent="0.2">
      <c r="A12" s="32" t="s">
        <v>97</v>
      </c>
      <c r="B12" s="44">
        <v>221</v>
      </c>
      <c r="C12" s="34" t="s">
        <v>24</v>
      </c>
      <c r="D12" s="35" t="s">
        <v>98</v>
      </c>
      <c r="E12" s="33" t="s">
        <v>61</v>
      </c>
      <c r="F12" s="33" t="s">
        <v>99</v>
      </c>
      <c r="G12" s="33" t="s">
        <v>93</v>
      </c>
      <c r="H12" s="33" t="s">
        <v>571</v>
      </c>
      <c r="I12" s="36" t="s">
        <v>100</v>
      </c>
      <c r="J12" s="36" t="s">
        <v>64</v>
      </c>
      <c r="K12" s="44" t="s">
        <v>101</v>
      </c>
      <c r="L12" s="36" t="s">
        <v>54</v>
      </c>
      <c r="M12" s="36">
        <v>10</v>
      </c>
      <c r="N12" s="33" t="s">
        <v>102</v>
      </c>
      <c r="O12" s="33" t="s">
        <v>33</v>
      </c>
      <c r="P12" s="45" t="s">
        <v>103</v>
      </c>
      <c r="Q12" s="44">
        <v>25</v>
      </c>
      <c r="R12" s="44">
        <v>25</v>
      </c>
      <c r="S12" s="33" t="s">
        <v>104</v>
      </c>
      <c r="T12" s="33">
        <v>8.0399999999999991</v>
      </c>
      <c r="U12" s="46">
        <v>5.8536524151080886</v>
      </c>
      <c r="V12" s="33">
        <v>2.5</v>
      </c>
      <c r="W12" s="33" t="s">
        <v>37</v>
      </c>
      <c r="X12" s="39">
        <f t="shared" ref="X12" si="19">(V12)*(U12/100)*1000</f>
        <v>146.3413103777022</v>
      </c>
      <c r="Y12" s="33">
        <v>2.5</v>
      </c>
      <c r="Z12" s="40">
        <f t="shared" si="1"/>
        <v>6.4367096033276967</v>
      </c>
      <c r="AA12" s="40">
        <f t="shared" si="15"/>
        <v>16.930271242758469</v>
      </c>
      <c r="AC12" s="16">
        <f t="shared" si="2"/>
        <v>0.4446312674691093</v>
      </c>
      <c r="AD12" s="26">
        <f t="shared" si="3"/>
        <v>2.2490546058357781</v>
      </c>
      <c r="AE12" s="51">
        <v>10</v>
      </c>
      <c r="AF12" s="85" t="str">
        <f t="shared" si="4"/>
        <v>NOEC</v>
      </c>
      <c r="AG12" s="9">
        <f t="shared" si="5"/>
        <v>1</v>
      </c>
      <c r="AH12" s="18">
        <f t="shared" si="6"/>
        <v>16.930271242758469</v>
      </c>
      <c r="AI12" s="88" t="str">
        <f t="shared" si="7"/>
        <v>Chronic</v>
      </c>
      <c r="AJ12" s="9">
        <f t="shared" si="8"/>
        <v>1</v>
      </c>
      <c r="AK12" s="18">
        <f t="shared" si="9"/>
        <v>16.930271242758469</v>
      </c>
      <c r="AL12" s="16"/>
      <c r="AM12" s="101" t="str">
        <f t="shared" si="10"/>
        <v>NOEC</v>
      </c>
      <c r="AN12" s="102" t="s">
        <v>356</v>
      </c>
      <c r="AO12" s="103" t="str">
        <f t="shared" si="11"/>
        <v>Chronic</v>
      </c>
      <c r="AP12" s="102" t="str">
        <f t="shared" si="16"/>
        <v>y</v>
      </c>
      <c r="AQ12" s="104" t="str">
        <f t="shared" si="12"/>
        <v>Reproduction (average young per replicate)</v>
      </c>
      <c r="AR12" s="102" t="s">
        <v>459</v>
      </c>
      <c r="AS12" s="105">
        <f t="shared" si="13"/>
        <v>10</v>
      </c>
      <c r="AT12" s="102" t="s">
        <v>460</v>
      </c>
      <c r="AU12" s="102"/>
      <c r="AV12" s="106">
        <f t="shared" si="14"/>
        <v>16.930271242758469</v>
      </c>
      <c r="AW12" s="107">
        <f t="shared" si="18"/>
        <v>16.930271242758469</v>
      </c>
      <c r="AX12" s="78">
        <f>MIN(AW12:AW12)</f>
        <v>16.930271242758469</v>
      </c>
      <c r="AY12" s="109">
        <f>MIN(AX12:AX12)</f>
        <v>16.930271242758469</v>
      </c>
      <c r="AZ12" s="15"/>
      <c r="BD12" s="87" t="s">
        <v>392</v>
      </c>
      <c r="BE12" s="97">
        <v>1</v>
      </c>
    </row>
    <row r="13" spans="1:72" ht="15" customHeight="1" x14ac:dyDescent="0.2">
      <c r="A13" s="19" t="s">
        <v>119</v>
      </c>
      <c r="B13" s="9">
        <v>235</v>
      </c>
      <c r="C13" s="10" t="s">
        <v>24</v>
      </c>
      <c r="D13" s="11" t="s">
        <v>120</v>
      </c>
      <c r="E13" s="9" t="s">
        <v>121</v>
      </c>
      <c r="F13" s="9" t="s">
        <v>122</v>
      </c>
      <c r="G13" s="9" t="s">
        <v>52</v>
      </c>
      <c r="H13" s="9" t="s">
        <v>571</v>
      </c>
      <c r="I13" s="12" t="s">
        <v>37</v>
      </c>
      <c r="J13" s="12" t="s">
        <v>123</v>
      </c>
      <c r="K13" s="12" t="s">
        <v>123</v>
      </c>
      <c r="L13" s="12" t="s">
        <v>54</v>
      </c>
      <c r="M13" s="12">
        <v>40</v>
      </c>
      <c r="N13" s="9" t="s">
        <v>55</v>
      </c>
      <c r="O13" s="13" t="s">
        <v>33</v>
      </c>
      <c r="P13" s="14" t="s">
        <v>56</v>
      </c>
      <c r="Q13" s="9" t="s">
        <v>438</v>
      </c>
      <c r="R13" s="9">
        <v>15.3</v>
      </c>
      <c r="S13" s="9" t="s">
        <v>124</v>
      </c>
      <c r="T13" s="9">
        <v>8.1</v>
      </c>
      <c r="U13" s="9">
        <v>3.3940000000000001</v>
      </c>
      <c r="V13" s="18">
        <v>2.1</v>
      </c>
      <c r="W13" s="9">
        <v>70</v>
      </c>
      <c r="X13" s="9">
        <v>70</v>
      </c>
      <c r="Y13" s="18">
        <v>2.1</v>
      </c>
      <c r="Z13" s="15">
        <f t="shared" si="1"/>
        <v>5.9178920071141139</v>
      </c>
      <c r="AA13" s="15">
        <f t="shared" si="15"/>
        <v>8.3285047095210523</v>
      </c>
      <c r="AC13" s="16">
        <f t="shared" si="2"/>
        <v>0.38725764492161724</v>
      </c>
      <c r="AD13" s="26">
        <f t="shared" si="3"/>
        <v>2.5822601906345959</v>
      </c>
      <c r="AE13" s="51">
        <v>10</v>
      </c>
      <c r="AF13" s="85" t="str">
        <f t="shared" si="4"/>
        <v>NOEC</v>
      </c>
      <c r="AG13" s="9">
        <f t="shared" si="5"/>
        <v>1</v>
      </c>
      <c r="AH13" s="18">
        <f t="shared" si="6"/>
        <v>8.3285047095210523</v>
      </c>
      <c r="AI13" s="88" t="str">
        <f t="shared" si="7"/>
        <v>Chronic</v>
      </c>
      <c r="AJ13" s="9">
        <f t="shared" si="8"/>
        <v>1</v>
      </c>
      <c r="AK13" s="18">
        <f t="shared" si="9"/>
        <v>8.3285047095210523</v>
      </c>
      <c r="AL13" s="16"/>
      <c r="AM13" s="127" t="str">
        <f t="shared" si="10"/>
        <v>NOEC</v>
      </c>
      <c r="AN13" s="128" t="s">
        <v>356</v>
      </c>
      <c r="AO13" s="129" t="str">
        <f t="shared" si="11"/>
        <v>Chronic</v>
      </c>
      <c r="AP13" s="128" t="str">
        <f t="shared" si="16"/>
        <v>y</v>
      </c>
      <c r="AQ13" s="130" t="str">
        <f t="shared" si="12"/>
        <v>Immobility</v>
      </c>
      <c r="AR13" s="128" t="s">
        <v>459</v>
      </c>
      <c r="AS13" s="131">
        <f t="shared" si="13"/>
        <v>40</v>
      </c>
      <c r="AT13" s="128" t="s">
        <v>460</v>
      </c>
      <c r="AU13" s="128"/>
      <c r="AV13" s="143">
        <f>AK13</f>
        <v>8.3285047095210523</v>
      </c>
      <c r="AW13" s="144">
        <f>GEOMEAN(AV13:AV13)</f>
        <v>8.3285047095210523</v>
      </c>
      <c r="AX13" s="148">
        <f>MIN(AW13)</f>
        <v>8.3285047095210523</v>
      </c>
      <c r="AY13" s="149">
        <f>MIN(AX13)</f>
        <v>8.3285047095210523</v>
      </c>
      <c r="AZ13" s="15"/>
      <c r="BD13" s="87" t="s">
        <v>370</v>
      </c>
      <c r="BE13" s="97">
        <v>1</v>
      </c>
    </row>
    <row r="14" spans="1:72" ht="15" customHeight="1" x14ac:dyDescent="0.2">
      <c r="A14" s="32" t="s">
        <v>132</v>
      </c>
      <c r="B14" s="33">
        <v>254</v>
      </c>
      <c r="C14" s="34" t="s">
        <v>24</v>
      </c>
      <c r="D14" s="35" t="s">
        <v>126</v>
      </c>
      <c r="E14" s="33" t="s">
        <v>121</v>
      </c>
      <c r="F14" s="33" t="s">
        <v>127</v>
      </c>
      <c r="G14" s="33" t="s">
        <v>52</v>
      </c>
      <c r="H14" s="33" t="s">
        <v>571</v>
      </c>
      <c r="I14" s="36" t="s">
        <v>128</v>
      </c>
      <c r="J14" s="36" t="s">
        <v>53</v>
      </c>
      <c r="K14" s="36" t="s">
        <v>53</v>
      </c>
      <c r="L14" s="36" t="s">
        <v>133</v>
      </c>
      <c r="M14" s="36">
        <v>28</v>
      </c>
      <c r="N14" s="33" t="s">
        <v>55</v>
      </c>
      <c r="O14" s="37" t="s">
        <v>33</v>
      </c>
      <c r="P14" s="38" t="s">
        <v>129</v>
      </c>
      <c r="Q14" s="33" t="s">
        <v>130</v>
      </c>
      <c r="R14" s="33">
        <v>20</v>
      </c>
      <c r="S14" s="33" t="s">
        <v>131</v>
      </c>
      <c r="T14" s="33">
        <v>8.1999999999999993</v>
      </c>
      <c r="U14" s="33">
        <v>5.9020000000000001</v>
      </c>
      <c r="V14" s="33" t="s">
        <v>134</v>
      </c>
      <c r="W14" s="33" t="s">
        <v>37</v>
      </c>
      <c r="X14" s="33">
        <v>7.67</v>
      </c>
      <c r="Y14" s="33">
        <v>0.13</v>
      </c>
      <c r="Z14" s="40">
        <f t="shared" si="1"/>
        <v>0.4284575216169903</v>
      </c>
      <c r="AA14" s="40">
        <f t="shared" si="15"/>
        <v>0.81640897675706381</v>
      </c>
      <c r="AB14" t="s">
        <v>577</v>
      </c>
      <c r="AC14" s="16">
        <f t="shared" si="2"/>
        <v>0.30760968147407108</v>
      </c>
      <c r="AD14" s="26">
        <f t="shared" si="3"/>
        <v>3.2508729738543409</v>
      </c>
      <c r="AE14" s="51">
        <v>10</v>
      </c>
      <c r="AF14" s="85" t="str">
        <f t="shared" si="4"/>
        <v>IC10</v>
      </c>
      <c r="AG14" s="9">
        <f t="shared" si="5"/>
        <v>1</v>
      </c>
      <c r="AH14" s="18">
        <f t="shared" si="6"/>
        <v>0.81640897675706381</v>
      </c>
      <c r="AI14" s="88" t="str">
        <f t="shared" si="7"/>
        <v>Chronic</v>
      </c>
      <c r="AJ14" s="9">
        <f t="shared" si="8"/>
        <v>1</v>
      </c>
      <c r="AK14" s="18">
        <f t="shared" si="9"/>
        <v>0.81640897675706381</v>
      </c>
      <c r="AL14" s="16"/>
      <c r="AM14" s="132" t="str">
        <f t="shared" si="10"/>
        <v>IC10</v>
      </c>
      <c r="AN14" s="67" t="s">
        <v>356</v>
      </c>
      <c r="AO14" s="88" t="str">
        <f t="shared" si="11"/>
        <v>Chronic</v>
      </c>
      <c r="AP14" s="67" t="str">
        <f t="shared" si="16"/>
        <v>y</v>
      </c>
      <c r="AQ14" s="69" t="str">
        <f t="shared" si="12"/>
        <v>Mortality</v>
      </c>
      <c r="AR14" s="67" t="s">
        <v>459</v>
      </c>
      <c r="AS14" s="70">
        <f t="shared" si="13"/>
        <v>28</v>
      </c>
      <c r="AT14" s="67" t="s">
        <v>460</v>
      </c>
      <c r="AU14" s="67"/>
      <c r="AV14" s="151">
        <f>AK14</f>
        <v>0.81640897675706381</v>
      </c>
      <c r="AW14" s="95">
        <f>GEOMEAN(AV14:AV14)</f>
        <v>0.81640897675706381</v>
      </c>
      <c r="AX14" s="96">
        <f>MIN(AW14)</f>
        <v>0.81640897675706381</v>
      </c>
      <c r="AY14" s="153">
        <f>MIN(AX14)</f>
        <v>0.81640897675706381</v>
      </c>
      <c r="AZ14" s="15"/>
      <c r="BD14" s="87" t="s">
        <v>206</v>
      </c>
      <c r="BE14" s="97">
        <v>1</v>
      </c>
    </row>
    <row r="15" spans="1:72" ht="15" customHeight="1" x14ac:dyDescent="0.2">
      <c r="A15" s="19" t="s">
        <v>144</v>
      </c>
      <c r="B15" s="9">
        <v>253</v>
      </c>
      <c r="C15" s="10" t="s">
        <v>24</v>
      </c>
      <c r="D15" s="11" t="s">
        <v>139</v>
      </c>
      <c r="E15" s="9" t="s">
        <v>121</v>
      </c>
      <c r="F15" s="9" t="s">
        <v>127</v>
      </c>
      <c r="G15" s="9" t="s">
        <v>52</v>
      </c>
      <c r="H15" s="9" t="s">
        <v>571</v>
      </c>
      <c r="I15" s="12" t="s">
        <v>140</v>
      </c>
      <c r="J15" s="12" t="s">
        <v>53</v>
      </c>
      <c r="K15" s="12" t="s">
        <v>53</v>
      </c>
      <c r="L15" s="12" t="s">
        <v>31</v>
      </c>
      <c r="M15" s="12">
        <v>28</v>
      </c>
      <c r="N15" s="9" t="s">
        <v>55</v>
      </c>
      <c r="O15" s="13" t="s">
        <v>33</v>
      </c>
      <c r="P15" s="14" t="s">
        <v>141</v>
      </c>
      <c r="Q15" s="9">
        <v>20</v>
      </c>
      <c r="R15" s="9">
        <v>20</v>
      </c>
      <c r="S15" s="9" t="s">
        <v>142</v>
      </c>
      <c r="T15" s="9">
        <v>8.26</v>
      </c>
      <c r="U15" s="9">
        <v>6.718</v>
      </c>
      <c r="V15" s="9">
        <v>0.54</v>
      </c>
      <c r="W15" s="9" t="s">
        <v>37</v>
      </c>
      <c r="X15" s="9">
        <v>36.299999999999997</v>
      </c>
      <c r="Y15" s="9">
        <v>0.54</v>
      </c>
      <c r="Z15" s="15">
        <f t="shared" si="1"/>
        <v>1.9610361754850452</v>
      </c>
      <c r="AA15" s="15">
        <f t="shared" si="15"/>
        <v>3.736677398891636</v>
      </c>
      <c r="AC15" s="16">
        <f t="shared" si="2"/>
        <v>0.26791683248190312</v>
      </c>
      <c r="AD15" s="26">
        <f t="shared" si="3"/>
        <v>3.7325015779572066</v>
      </c>
      <c r="AE15" s="51">
        <v>10</v>
      </c>
      <c r="AF15" s="85" t="str">
        <f t="shared" si="4"/>
        <v>EC10</v>
      </c>
      <c r="AG15" s="9">
        <f t="shared" si="5"/>
        <v>1</v>
      </c>
      <c r="AH15" s="18">
        <f t="shared" si="6"/>
        <v>3.736677398891636</v>
      </c>
      <c r="AI15" s="88" t="str">
        <f t="shared" si="7"/>
        <v>Chronic</v>
      </c>
      <c r="AJ15" s="9">
        <f t="shared" si="8"/>
        <v>1</v>
      </c>
      <c r="AK15" s="18">
        <f t="shared" si="9"/>
        <v>3.736677398891636</v>
      </c>
      <c r="AM15" s="101" t="str">
        <f t="shared" si="10"/>
        <v>EC10</v>
      </c>
      <c r="AN15" s="102" t="s">
        <v>356</v>
      </c>
      <c r="AO15" s="103" t="str">
        <f t="shared" si="11"/>
        <v>Chronic</v>
      </c>
      <c r="AP15" s="102" t="str">
        <f t="shared" si="16"/>
        <v>y</v>
      </c>
      <c r="AQ15" s="104" t="str">
        <f t="shared" si="12"/>
        <v>Mortality</v>
      </c>
      <c r="AR15" s="196" t="s">
        <v>459</v>
      </c>
      <c r="AS15" s="105">
        <f t="shared" si="13"/>
        <v>28</v>
      </c>
      <c r="AT15" s="158" t="s">
        <v>460</v>
      </c>
      <c r="AU15" s="197"/>
      <c r="AV15" s="154">
        <f t="shared" ref="AV15" si="20">AK15</f>
        <v>3.736677398891636</v>
      </c>
      <c r="AW15" s="155"/>
      <c r="AX15" s="197"/>
      <c r="AY15" s="198"/>
      <c r="AZ15" s="15"/>
      <c r="BD15" s="87" t="s">
        <v>167</v>
      </c>
      <c r="BE15" s="97">
        <v>5</v>
      </c>
    </row>
    <row r="16" spans="1:72" ht="15" customHeight="1" x14ac:dyDescent="0.2">
      <c r="A16" s="19" t="s">
        <v>146</v>
      </c>
      <c r="B16" s="9">
        <v>254</v>
      </c>
      <c r="C16" s="10" t="s">
        <v>24</v>
      </c>
      <c r="D16" s="11" t="s">
        <v>139</v>
      </c>
      <c r="E16" s="9" t="s">
        <v>121</v>
      </c>
      <c r="F16" s="9" t="s">
        <v>127</v>
      </c>
      <c r="G16" s="9" t="s">
        <v>52</v>
      </c>
      <c r="H16" s="9" t="s">
        <v>571</v>
      </c>
      <c r="I16" s="12" t="s">
        <v>140</v>
      </c>
      <c r="J16" s="12" t="s">
        <v>53</v>
      </c>
      <c r="K16" s="12" t="s">
        <v>53</v>
      </c>
      <c r="L16" s="12" t="s">
        <v>133</v>
      </c>
      <c r="M16" s="12">
        <v>28</v>
      </c>
      <c r="N16" s="9" t="s">
        <v>55</v>
      </c>
      <c r="O16" s="13" t="s">
        <v>33</v>
      </c>
      <c r="P16" s="14" t="s">
        <v>129</v>
      </c>
      <c r="Q16" s="9" t="s">
        <v>130</v>
      </c>
      <c r="R16" s="9">
        <v>20</v>
      </c>
      <c r="S16" s="9" t="s">
        <v>131</v>
      </c>
      <c r="T16" s="9">
        <v>8.1999999999999993</v>
      </c>
      <c r="U16" s="9">
        <v>5.9020000000000001</v>
      </c>
      <c r="V16" s="9" t="s">
        <v>134</v>
      </c>
      <c r="W16" s="9" t="s">
        <v>37</v>
      </c>
      <c r="X16" s="9">
        <v>7.67</v>
      </c>
      <c r="Y16" s="9">
        <v>0.13</v>
      </c>
      <c r="Z16" s="15">
        <f t="shared" si="1"/>
        <v>0.4284575216169903</v>
      </c>
      <c r="AA16" s="15">
        <f t="shared" si="15"/>
        <v>0.81640897675706381</v>
      </c>
      <c r="AB16" t="s">
        <v>577</v>
      </c>
      <c r="AC16" s="16">
        <f t="shared" si="2"/>
        <v>0.30760968147407108</v>
      </c>
      <c r="AD16" s="26">
        <f t="shared" si="3"/>
        <v>3.2508729738543409</v>
      </c>
      <c r="AE16" s="51">
        <v>10</v>
      </c>
      <c r="AF16" s="85" t="str">
        <f t="shared" si="4"/>
        <v>IC10</v>
      </c>
      <c r="AG16" s="9">
        <f t="shared" si="5"/>
        <v>1</v>
      </c>
      <c r="AH16" s="18">
        <f t="shared" si="6"/>
        <v>0.81640897675706381</v>
      </c>
      <c r="AI16" s="88" t="str">
        <f t="shared" si="7"/>
        <v>Chronic</v>
      </c>
      <c r="AJ16" s="9">
        <f t="shared" si="8"/>
        <v>1</v>
      </c>
      <c r="AK16" s="18">
        <f t="shared" si="9"/>
        <v>0.81640897675706381</v>
      </c>
      <c r="AL16" s="16"/>
      <c r="AM16" s="110" t="str">
        <f t="shared" si="10"/>
        <v>IC10</v>
      </c>
      <c r="AN16" s="111" t="s">
        <v>356</v>
      </c>
      <c r="AO16" s="112" t="str">
        <f t="shared" si="11"/>
        <v>Chronic</v>
      </c>
      <c r="AP16" s="111" t="str">
        <f t="shared" si="16"/>
        <v>y</v>
      </c>
      <c r="AQ16" s="134" t="str">
        <f t="shared" si="12"/>
        <v>Mortality</v>
      </c>
      <c r="AR16" s="199" t="s">
        <v>459</v>
      </c>
      <c r="AS16" s="114">
        <f t="shared" si="13"/>
        <v>28</v>
      </c>
      <c r="AT16" s="199" t="s">
        <v>460</v>
      </c>
      <c r="AU16" s="200"/>
      <c r="AV16" s="152">
        <f t="shared" ref="AV16:AV17" si="21">AK16</f>
        <v>0.81640897675706381</v>
      </c>
      <c r="AW16" s="140">
        <f>GEOMEAN(AV15:AV16)</f>
        <v>1.7466129999803526</v>
      </c>
      <c r="AX16" s="141">
        <f>MIN(AW16)</f>
        <v>1.7466129999803526</v>
      </c>
      <c r="AY16" s="142">
        <f>MIN(AX16:AX16)</f>
        <v>1.7466129999803526</v>
      </c>
      <c r="AZ16" s="15"/>
      <c r="BD16" s="87" t="s">
        <v>133</v>
      </c>
      <c r="BE16" s="97">
        <v>1</v>
      </c>
    </row>
    <row r="17" spans="1:91" s="16" customFormat="1" ht="15" customHeight="1" x14ac:dyDescent="0.2">
      <c r="A17" s="32" t="s">
        <v>148</v>
      </c>
      <c r="B17" s="33">
        <v>256</v>
      </c>
      <c r="C17" s="38" t="s">
        <v>24</v>
      </c>
      <c r="D17" s="35" t="s">
        <v>149</v>
      </c>
      <c r="E17" s="33" t="s">
        <v>121</v>
      </c>
      <c r="F17" s="33" t="s">
        <v>127</v>
      </c>
      <c r="G17" s="33" t="s">
        <v>52</v>
      </c>
      <c r="H17" s="33" t="s">
        <v>571</v>
      </c>
      <c r="I17" s="33" t="s">
        <v>37</v>
      </c>
      <c r="J17" s="36" t="s">
        <v>53</v>
      </c>
      <c r="K17" s="36" t="s">
        <v>53</v>
      </c>
      <c r="L17" s="36" t="s">
        <v>54</v>
      </c>
      <c r="M17" s="36">
        <v>6</v>
      </c>
      <c r="N17" s="33" t="s">
        <v>102</v>
      </c>
      <c r="O17" s="37" t="s">
        <v>33</v>
      </c>
      <c r="P17" s="38" t="s">
        <v>150</v>
      </c>
      <c r="Q17" s="33" t="s">
        <v>151</v>
      </c>
      <c r="R17" s="33">
        <v>21.8</v>
      </c>
      <c r="S17" s="33" t="s">
        <v>152</v>
      </c>
      <c r="T17" s="33">
        <v>7.8</v>
      </c>
      <c r="U17" s="33">
        <v>2.7679999999999998</v>
      </c>
      <c r="V17" s="33" t="s">
        <v>37</v>
      </c>
      <c r="W17" s="33">
        <v>30</v>
      </c>
      <c r="X17" s="33">
        <v>30</v>
      </c>
      <c r="Y17" s="40">
        <f t="shared" ref="Y17" si="22">X17/((U17/100)*1000)</f>
        <v>1.0838150289017343</v>
      </c>
      <c r="Z17" s="40">
        <f t="shared" si="1"/>
        <v>2.0127302212112239</v>
      </c>
      <c r="AA17" s="40">
        <f t="shared" si="15"/>
        <v>4.3071060743350573</v>
      </c>
      <c r="AC17" s="16">
        <f t="shared" si="2"/>
        <v>0.77268058509570214</v>
      </c>
      <c r="AD17" s="26">
        <f t="shared" si="3"/>
        <v>1.2941958414499863</v>
      </c>
      <c r="AE17" s="51">
        <v>10</v>
      </c>
      <c r="AF17" s="85" t="str">
        <f t="shared" si="4"/>
        <v>NOEC</v>
      </c>
      <c r="AG17" s="9">
        <f t="shared" si="5"/>
        <v>1</v>
      </c>
      <c r="AH17" s="18">
        <f t="shared" si="6"/>
        <v>4.3071060743350573</v>
      </c>
      <c r="AI17" s="88" t="str">
        <f t="shared" si="7"/>
        <v>Chronic</v>
      </c>
      <c r="AJ17" s="9">
        <f t="shared" si="8"/>
        <v>1</v>
      </c>
      <c r="AK17" s="18">
        <f t="shared" si="9"/>
        <v>4.3071060743350573</v>
      </c>
      <c r="AM17" s="101" t="str">
        <f t="shared" si="10"/>
        <v>NOEC</v>
      </c>
      <c r="AN17" s="102" t="s">
        <v>356</v>
      </c>
      <c r="AO17" s="103" t="str">
        <f t="shared" si="11"/>
        <v>Chronic</v>
      </c>
      <c r="AP17" s="102" t="str">
        <f t="shared" si="16"/>
        <v>y</v>
      </c>
      <c r="AQ17" s="104" t="str">
        <f t="shared" si="12"/>
        <v>Mortality</v>
      </c>
      <c r="AR17" s="102" t="s">
        <v>459</v>
      </c>
      <c r="AS17" s="105">
        <f t="shared" si="13"/>
        <v>6</v>
      </c>
      <c r="AT17" s="102" t="s">
        <v>460</v>
      </c>
      <c r="AU17" s="102"/>
      <c r="AV17" s="154">
        <f t="shared" si="21"/>
        <v>4.3071060743350573</v>
      </c>
      <c r="AW17" s="118">
        <f>GEOMEAN(AV17)</f>
        <v>4.3071060743350573</v>
      </c>
      <c r="AX17" s="119">
        <f>MIN(AW17:AW17)</f>
        <v>4.3071060743350573</v>
      </c>
      <c r="AY17" s="126">
        <f>MIN(AX17)</f>
        <v>4.3071060743350573</v>
      </c>
      <c r="AZ17" s="15"/>
      <c r="BA17"/>
      <c r="BC17"/>
      <c r="BD17" s="87" t="s">
        <v>200</v>
      </c>
      <c r="BE17" s="97">
        <v>1</v>
      </c>
      <c r="BF17"/>
    </row>
    <row r="18" spans="1:91" ht="15" customHeight="1" x14ac:dyDescent="0.2">
      <c r="A18" s="8" t="s">
        <v>168</v>
      </c>
      <c r="B18" s="9">
        <v>242</v>
      </c>
      <c r="C18" s="10" t="s">
        <v>24</v>
      </c>
      <c r="D18" s="11" t="s">
        <v>155</v>
      </c>
      <c r="E18" s="9" t="s">
        <v>121</v>
      </c>
      <c r="F18" s="9" t="s">
        <v>127</v>
      </c>
      <c r="G18" s="9" t="s">
        <v>52</v>
      </c>
      <c r="H18" s="9" t="s">
        <v>571</v>
      </c>
      <c r="I18" s="12" t="s">
        <v>156</v>
      </c>
      <c r="J18" s="12" t="s">
        <v>136</v>
      </c>
      <c r="K18" s="12" t="s">
        <v>169</v>
      </c>
      <c r="L18" s="12" t="s">
        <v>54</v>
      </c>
      <c r="M18" s="12">
        <v>60</v>
      </c>
      <c r="N18" s="9" t="s">
        <v>55</v>
      </c>
      <c r="O18" s="13" t="s">
        <v>33</v>
      </c>
      <c r="P18" s="14" t="s">
        <v>157</v>
      </c>
      <c r="Q18" s="9">
        <v>20</v>
      </c>
      <c r="R18" s="9">
        <v>20</v>
      </c>
      <c r="S18" s="28" t="s">
        <v>158</v>
      </c>
      <c r="T18" s="28">
        <v>7.73</v>
      </c>
      <c r="U18" s="26" t="s">
        <v>170</v>
      </c>
      <c r="V18" s="9">
        <v>0.65</v>
      </c>
      <c r="W18" s="9">
        <v>12</v>
      </c>
      <c r="X18" s="9">
        <v>12</v>
      </c>
      <c r="Y18" s="9">
        <v>0.65</v>
      </c>
      <c r="Z18" s="15">
        <f t="shared" si="1"/>
        <v>1.1105489745328638</v>
      </c>
      <c r="AA18" s="15">
        <f t="shared" si="15"/>
        <v>2.1161074463467386</v>
      </c>
      <c r="AC18" s="16">
        <f t="shared" si="2"/>
        <v>0.90782053017818432</v>
      </c>
      <c r="AD18" s="26">
        <f t="shared" si="3"/>
        <v>1.1015393095414168</v>
      </c>
      <c r="AE18" s="51">
        <v>10</v>
      </c>
      <c r="AF18" s="85" t="str">
        <f t="shared" si="4"/>
        <v>NOEC</v>
      </c>
      <c r="AG18" s="9">
        <f t="shared" si="5"/>
        <v>1</v>
      </c>
      <c r="AH18" s="18">
        <f t="shared" si="6"/>
        <v>2.1161074463467386</v>
      </c>
      <c r="AI18" s="88" t="str">
        <f t="shared" si="7"/>
        <v>Chronic</v>
      </c>
      <c r="AJ18" s="9">
        <f t="shared" si="8"/>
        <v>1</v>
      </c>
      <c r="AK18" s="18">
        <f t="shared" si="9"/>
        <v>2.1161074463467386</v>
      </c>
      <c r="AL18" s="16"/>
      <c r="AM18" s="110" t="str">
        <f t="shared" si="10"/>
        <v>NOEC</v>
      </c>
      <c r="AN18" s="111" t="s">
        <v>356</v>
      </c>
      <c r="AO18" s="112" t="str">
        <f t="shared" si="11"/>
        <v>Chronic</v>
      </c>
      <c r="AP18" s="111" t="str">
        <f t="shared" si="16"/>
        <v>y</v>
      </c>
      <c r="AQ18" s="134" t="str">
        <f t="shared" si="12"/>
        <v>Length</v>
      </c>
      <c r="AR18" s="111" t="s">
        <v>475</v>
      </c>
      <c r="AS18" s="114">
        <f t="shared" si="13"/>
        <v>60</v>
      </c>
      <c r="AT18" s="111" t="s">
        <v>476</v>
      </c>
      <c r="AU18" s="111"/>
      <c r="AV18" s="152">
        <f t="shared" ref="AV18" si="23">AK18</f>
        <v>2.1161074463467386</v>
      </c>
      <c r="AW18" s="140">
        <f>GEOMEAN(AV18)</f>
        <v>2.1161074463467386</v>
      </c>
      <c r="AX18" s="141">
        <f>MIN(AW18)</f>
        <v>2.1161074463467386</v>
      </c>
      <c r="AY18" s="142">
        <f>MIN(AX18:AX18)</f>
        <v>2.1161074463467386</v>
      </c>
      <c r="AZ18" s="15"/>
      <c r="BC18" s="98" t="s">
        <v>468</v>
      </c>
      <c r="BD18" s="51" t="s">
        <v>469</v>
      </c>
      <c r="BE18" s="51" t="s">
        <v>470</v>
      </c>
      <c r="BF18" s="51" t="s">
        <v>471</v>
      </c>
    </row>
    <row r="19" spans="1:91" s="42" customFormat="1" ht="15" customHeight="1" x14ac:dyDescent="0.2">
      <c r="A19" s="32" t="s">
        <v>176</v>
      </c>
      <c r="B19" s="33">
        <v>254</v>
      </c>
      <c r="C19" s="34" t="s">
        <v>24</v>
      </c>
      <c r="D19" s="35" t="s">
        <v>172</v>
      </c>
      <c r="E19" s="33" t="s">
        <v>121</v>
      </c>
      <c r="F19" s="33" t="s">
        <v>127</v>
      </c>
      <c r="G19" s="33" t="s">
        <v>52</v>
      </c>
      <c r="H19" s="33" t="s">
        <v>571</v>
      </c>
      <c r="I19" s="36" t="s">
        <v>128</v>
      </c>
      <c r="J19" s="36" t="s">
        <v>177</v>
      </c>
      <c r="K19" s="36" t="s">
        <v>137</v>
      </c>
      <c r="L19" s="36" t="s">
        <v>133</v>
      </c>
      <c r="M19" s="36">
        <v>28</v>
      </c>
      <c r="N19" s="33" t="s">
        <v>55</v>
      </c>
      <c r="O19" s="37" t="s">
        <v>33</v>
      </c>
      <c r="P19" s="38" t="s">
        <v>129</v>
      </c>
      <c r="Q19" s="33" t="s">
        <v>130</v>
      </c>
      <c r="R19" s="33">
        <v>20</v>
      </c>
      <c r="S19" s="33" t="s">
        <v>131</v>
      </c>
      <c r="T19" s="33">
        <v>8.1999999999999993</v>
      </c>
      <c r="U19" s="33">
        <v>5.9020000000000001</v>
      </c>
      <c r="V19" s="33" t="s">
        <v>175</v>
      </c>
      <c r="W19" s="33" t="s">
        <v>37</v>
      </c>
      <c r="X19" s="33">
        <v>23.6</v>
      </c>
      <c r="Y19" s="33">
        <v>0.4</v>
      </c>
      <c r="Z19" s="40">
        <f t="shared" si="1"/>
        <v>1.3183308357445855</v>
      </c>
      <c r="AA19" s="40">
        <f t="shared" si="15"/>
        <v>2.512027620790966</v>
      </c>
      <c r="AB19" t="s">
        <v>577</v>
      </c>
      <c r="AC19" s="16">
        <f t="shared" si="2"/>
        <v>0.30760968147407108</v>
      </c>
      <c r="AD19" s="26">
        <f t="shared" si="3"/>
        <v>3.2508729738543409</v>
      </c>
      <c r="AE19" s="51">
        <v>10</v>
      </c>
      <c r="AF19" s="85" t="str">
        <f t="shared" si="4"/>
        <v>IC10</v>
      </c>
      <c r="AG19" s="9">
        <f t="shared" si="5"/>
        <v>1</v>
      </c>
      <c r="AH19" s="18">
        <f t="shared" si="6"/>
        <v>2.512027620790966</v>
      </c>
      <c r="AI19" s="88" t="str">
        <f t="shared" si="7"/>
        <v>Chronic</v>
      </c>
      <c r="AJ19" s="9">
        <f t="shared" si="8"/>
        <v>1</v>
      </c>
      <c r="AK19" s="18">
        <f t="shared" si="9"/>
        <v>2.512027620790966</v>
      </c>
      <c r="AL19" s="16"/>
      <c r="AM19" s="110" t="str">
        <f t="shared" si="10"/>
        <v>IC10</v>
      </c>
      <c r="AN19" s="111" t="s">
        <v>356</v>
      </c>
      <c r="AO19" s="112" t="str">
        <f t="shared" si="11"/>
        <v>Chronic</v>
      </c>
      <c r="AP19" s="111" t="str">
        <f t="shared" si="16"/>
        <v>y</v>
      </c>
      <c r="AQ19" s="134" t="str">
        <f t="shared" si="12"/>
        <v>Shell length</v>
      </c>
      <c r="AR19" s="111" t="s">
        <v>473</v>
      </c>
      <c r="AS19" s="114">
        <f t="shared" si="13"/>
        <v>28</v>
      </c>
      <c r="AT19" s="111" t="s">
        <v>474</v>
      </c>
      <c r="AU19" s="111"/>
      <c r="AV19" s="152">
        <f>AK19</f>
        <v>2.512027620790966</v>
      </c>
      <c r="AW19" s="140">
        <f>GEOMEAN(AV19)</f>
        <v>2.512027620790966</v>
      </c>
      <c r="AX19" s="141">
        <f>MIN(AW19)</f>
        <v>2.512027620790966</v>
      </c>
      <c r="AY19" s="142">
        <f>MIN(AX19:AX19)</f>
        <v>2.512027620790966</v>
      </c>
      <c r="AZ19" s="15"/>
      <c r="BA19" s="16"/>
      <c r="BB19"/>
      <c r="BC19"/>
      <c r="BD19" s="99" t="s">
        <v>33</v>
      </c>
      <c r="BE19" s="97">
        <v>1</v>
      </c>
      <c r="BF19" s="87" t="s">
        <v>33</v>
      </c>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x14ac:dyDescent="0.2">
      <c r="A20" s="193" t="s">
        <v>594</v>
      </c>
      <c r="AF20" s="68"/>
      <c r="AG20" s="9"/>
      <c r="AH20" s="18"/>
      <c r="AI20" s="67"/>
      <c r="AJ20" s="9"/>
      <c r="AK20" s="18"/>
      <c r="AL20" s="16"/>
      <c r="AM20" s="68"/>
      <c r="AN20" s="67"/>
      <c r="AO20" s="67"/>
      <c r="AP20" s="67"/>
      <c r="AQ20" s="76"/>
      <c r="AR20" s="67"/>
      <c r="AS20" s="70"/>
      <c r="AT20" s="67"/>
      <c r="AU20" s="67"/>
      <c r="AV20" s="80"/>
      <c r="AW20" s="81"/>
      <c r="AX20" s="78"/>
      <c r="AY20" s="206"/>
      <c r="BD20" s="99" t="s">
        <v>472</v>
      </c>
      <c r="BE20" s="97">
        <v>2</v>
      </c>
      <c r="BF20" s="87" t="s">
        <v>33</v>
      </c>
    </row>
    <row r="21" spans="1:91" x14ac:dyDescent="0.2">
      <c r="A21" s="32" t="s">
        <v>48</v>
      </c>
      <c r="B21" s="33">
        <v>236</v>
      </c>
      <c r="C21" s="34" t="s">
        <v>24</v>
      </c>
      <c r="D21" s="35" t="s">
        <v>49</v>
      </c>
      <c r="E21" s="33" t="s">
        <v>50</v>
      </c>
      <c r="F21" s="33" t="s">
        <v>51</v>
      </c>
      <c r="G21" s="33" t="s">
        <v>52</v>
      </c>
      <c r="H21" s="33" t="s">
        <v>571</v>
      </c>
      <c r="I21" s="36" t="s">
        <v>37</v>
      </c>
      <c r="J21" s="36" t="s">
        <v>53</v>
      </c>
      <c r="K21" s="36" t="s">
        <v>53</v>
      </c>
      <c r="L21" s="36" t="s">
        <v>54</v>
      </c>
      <c r="M21" s="36">
        <v>30</v>
      </c>
      <c r="N21" s="33" t="s">
        <v>55</v>
      </c>
      <c r="O21" s="37" t="s">
        <v>33</v>
      </c>
      <c r="P21" s="38" t="s">
        <v>56</v>
      </c>
      <c r="Q21" s="33" t="s">
        <v>57</v>
      </c>
      <c r="R21" s="40">
        <v>15.1</v>
      </c>
      <c r="S21" s="33" t="s">
        <v>58</v>
      </c>
      <c r="T21" s="33">
        <v>8.11</v>
      </c>
      <c r="U21" s="33">
        <v>3.42</v>
      </c>
      <c r="V21" s="33" t="s">
        <v>37</v>
      </c>
      <c r="W21" s="33">
        <v>20</v>
      </c>
      <c r="X21" s="40">
        <v>20</v>
      </c>
      <c r="Y21" s="40">
        <f t="shared" ref="Y21:Y25" si="24">X21/((U21/100)*1000)</f>
        <v>0.58479532163742687</v>
      </c>
      <c r="Z21" s="40">
        <f t="shared" ref="Z21:Z34" si="25">Y21/((0.0278/(1+AC21))+(1.1994/(1+AD21)))</f>
        <v>1.6734482467670493</v>
      </c>
      <c r="AA21" s="40">
        <f>POWER(10,LOG(Z21)-(-0.028*(R21-AE21)))</f>
        <v>2.1797781045574331</v>
      </c>
      <c r="AC21" s="16">
        <f t="shared" ref="AC21:AC34" si="26">POWER(10,7.688-T21)</f>
        <v>0.37844258471709358</v>
      </c>
      <c r="AD21" s="26">
        <f t="shared" ref="AD21:AD34" si="27">POWER(10,T21-7.688)</f>
        <v>2.6424087573219448</v>
      </c>
      <c r="AE21" s="51">
        <v>11</v>
      </c>
      <c r="AF21" s="85" t="str">
        <f t="shared" ref="AF21:AF34" si="28">L21</f>
        <v>NOEC</v>
      </c>
      <c r="AG21" s="9">
        <f t="shared" ref="AG21:AG34" si="29">VLOOKUP(AF21,$BD$6:$BE$17,2,FALSE)</f>
        <v>1</v>
      </c>
      <c r="AH21" s="18">
        <f t="shared" ref="AH21:AH34" si="30">AA21/AG21</f>
        <v>2.1797781045574331</v>
      </c>
      <c r="AI21" s="88" t="str">
        <f t="shared" ref="AI21:AI34" si="31">O21</f>
        <v>Chronic</v>
      </c>
      <c r="AJ21" s="9">
        <f t="shared" ref="AJ21:AJ34" si="32">VLOOKUP(AI21,$BD$19:$BF$20,2,FALSE)</f>
        <v>1</v>
      </c>
      <c r="AK21" s="18">
        <f t="shared" ref="AK21:AK34" si="33">AH21/AJ21</f>
        <v>2.1797781045574331</v>
      </c>
      <c r="AL21" s="16"/>
      <c r="AM21" s="127" t="str">
        <f t="shared" ref="AM21:AM34" si="34">L21</f>
        <v>NOEC</v>
      </c>
      <c r="AN21" s="128" t="s">
        <v>356</v>
      </c>
      <c r="AO21" s="129" t="str">
        <f t="shared" ref="AO21:AO34" si="35">O21</f>
        <v>Chronic</v>
      </c>
      <c r="AP21" s="128" t="str">
        <f>IF(AO21="chronic","y","n")</f>
        <v>y</v>
      </c>
      <c r="AQ21" s="130" t="str">
        <f t="shared" ref="AQ21:AQ34" si="36">K21</f>
        <v>Mortality</v>
      </c>
      <c r="AR21" s="128" t="s">
        <v>459</v>
      </c>
      <c r="AS21" s="131">
        <f t="shared" ref="AS21:AS34" si="37">M21</f>
        <v>30</v>
      </c>
      <c r="AT21" s="128" t="s">
        <v>460</v>
      </c>
      <c r="AU21" s="128"/>
      <c r="AV21" s="189">
        <f t="shared" ref="AV21:AV27" si="38">AK21</f>
        <v>2.1797781045574331</v>
      </c>
      <c r="AW21" s="144">
        <f>GEOMEAN(AV21)</f>
        <v>2.1797781045574331</v>
      </c>
      <c r="AX21" s="148">
        <f>MIN(AW21)</f>
        <v>2.1797781045574331</v>
      </c>
      <c r="AY21" s="149">
        <f>MIN(AX21)</f>
        <v>2.1797781045574331</v>
      </c>
      <c r="AZ21" s="206" t="str">
        <f>A20</f>
        <v>11°C</v>
      </c>
    </row>
    <row r="22" spans="1:91" x14ac:dyDescent="0.2">
      <c r="A22" s="19" t="s">
        <v>59</v>
      </c>
      <c r="B22" s="9">
        <v>245</v>
      </c>
      <c r="C22" s="10" t="s">
        <v>24</v>
      </c>
      <c r="D22" s="11" t="s">
        <v>60</v>
      </c>
      <c r="E22" s="20" t="s">
        <v>61</v>
      </c>
      <c r="F22" s="9" t="s">
        <v>62</v>
      </c>
      <c r="G22" s="9" t="s">
        <v>52</v>
      </c>
      <c r="H22" s="9" t="s">
        <v>571</v>
      </c>
      <c r="I22" s="12" t="s">
        <v>63</v>
      </c>
      <c r="J22" s="12" t="s">
        <v>64</v>
      </c>
      <c r="K22" s="12" t="s">
        <v>64</v>
      </c>
      <c r="L22" s="12" t="s">
        <v>54</v>
      </c>
      <c r="M22" s="12">
        <v>7</v>
      </c>
      <c r="N22" s="9" t="s">
        <v>55</v>
      </c>
      <c r="O22" s="21" t="s">
        <v>33</v>
      </c>
      <c r="P22" s="14" t="s">
        <v>65</v>
      </c>
      <c r="Q22" s="9">
        <v>25</v>
      </c>
      <c r="R22" s="9">
        <v>25</v>
      </c>
      <c r="S22" s="22">
        <v>8</v>
      </c>
      <c r="T22" s="22">
        <v>8</v>
      </c>
      <c r="U22" s="20">
        <v>5.3659999999999997</v>
      </c>
      <c r="V22" s="20" t="s">
        <v>37</v>
      </c>
      <c r="W22" s="20">
        <v>680</v>
      </c>
      <c r="X22" s="9">
        <v>680</v>
      </c>
      <c r="Y22" s="27">
        <f t="shared" si="24"/>
        <v>12.672381662318301</v>
      </c>
      <c r="Z22" s="15">
        <f t="shared" si="25"/>
        <v>30.774279778328605</v>
      </c>
      <c r="AA22" s="15">
        <f t="shared" ref="AA22:AA34" si="39">POWER(10,LOG(Z22)-(-0.028*(R22-AE22)))</f>
        <v>75.890584508413568</v>
      </c>
      <c r="AC22" s="16">
        <f t="shared" si="26"/>
        <v>0.48752849010338595</v>
      </c>
      <c r="AD22" s="26">
        <f t="shared" si="27"/>
        <v>2.051162178825567</v>
      </c>
      <c r="AE22" s="51">
        <v>11</v>
      </c>
      <c r="AF22" s="85" t="str">
        <f t="shared" si="28"/>
        <v>NOEC</v>
      </c>
      <c r="AG22" s="9">
        <f t="shared" si="29"/>
        <v>1</v>
      </c>
      <c r="AH22" s="18">
        <f t="shared" si="30"/>
        <v>75.890584508413568</v>
      </c>
      <c r="AI22" s="88" t="str">
        <f t="shared" si="31"/>
        <v>Chronic</v>
      </c>
      <c r="AJ22" s="9">
        <f t="shared" si="32"/>
        <v>1</v>
      </c>
      <c r="AK22" s="18">
        <f t="shared" si="33"/>
        <v>75.890584508413568</v>
      </c>
      <c r="AL22" s="16"/>
      <c r="AM22" s="101" t="str">
        <f t="shared" si="34"/>
        <v>NOEC</v>
      </c>
      <c r="AN22" s="102" t="s">
        <v>356</v>
      </c>
      <c r="AO22" s="103" t="str">
        <f t="shared" si="35"/>
        <v>Chronic</v>
      </c>
      <c r="AP22" s="102" t="str">
        <f t="shared" ref="AP22:AP34" si="40">IF(AO22="chronic","y","n")</f>
        <v>y</v>
      </c>
      <c r="AQ22" s="104" t="str">
        <f t="shared" si="36"/>
        <v>Reproduction</v>
      </c>
      <c r="AR22" s="102" t="s">
        <v>459</v>
      </c>
      <c r="AS22" s="105">
        <f t="shared" si="37"/>
        <v>7</v>
      </c>
      <c r="AT22" s="102" t="s">
        <v>460</v>
      </c>
      <c r="AU22" s="102"/>
      <c r="AV22" s="106">
        <f t="shared" si="38"/>
        <v>75.890584508413568</v>
      </c>
      <c r="AW22" s="107">
        <f>GEOMEAN(AV22:AV22)</f>
        <v>75.890584508413568</v>
      </c>
      <c r="AX22" s="108">
        <f>MIN(AW22:AW22)</f>
        <v>75.890584508413568</v>
      </c>
      <c r="AY22" s="109">
        <f>MIN(AX22)</f>
        <v>75.890584508413568</v>
      </c>
    </row>
    <row r="23" spans="1:91" x14ac:dyDescent="0.2">
      <c r="A23" s="32" t="s">
        <v>82</v>
      </c>
      <c r="B23" s="33">
        <v>240</v>
      </c>
      <c r="C23" s="34" t="s">
        <v>24</v>
      </c>
      <c r="D23" s="35" t="s">
        <v>77</v>
      </c>
      <c r="E23" s="33" t="s">
        <v>61</v>
      </c>
      <c r="F23" s="33" t="s">
        <v>62</v>
      </c>
      <c r="G23" s="33" t="s">
        <v>52</v>
      </c>
      <c r="H23" s="33" t="s">
        <v>571</v>
      </c>
      <c r="I23" s="36" t="s">
        <v>78</v>
      </c>
      <c r="J23" s="36" t="s">
        <v>83</v>
      </c>
      <c r="K23" s="36" t="s">
        <v>84</v>
      </c>
      <c r="L23" s="36" t="s">
        <v>54</v>
      </c>
      <c r="M23" s="36">
        <v>21</v>
      </c>
      <c r="N23" s="33" t="s">
        <v>55</v>
      </c>
      <c r="O23" s="37" t="s">
        <v>33</v>
      </c>
      <c r="P23" s="38" t="s">
        <v>79</v>
      </c>
      <c r="Q23" s="33" t="s">
        <v>80</v>
      </c>
      <c r="R23" s="40">
        <v>19.8</v>
      </c>
      <c r="S23" s="33" t="s">
        <v>81</v>
      </c>
      <c r="T23" s="33">
        <v>8.4499999999999993</v>
      </c>
      <c r="U23" s="33">
        <v>9.9039999999999999</v>
      </c>
      <c r="V23" s="44" t="s">
        <v>37</v>
      </c>
      <c r="W23" s="44" t="s">
        <v>37</v>
      </c>
      <c r="X23" s="33">
        <v>420</v>
      </c>
      <c r="Y23" s="40">
        <f t="shared" si="24"/>
        <v>4.2407108239095308</v>
      </c>
      <c r="Z23" s="40">
        <f t="shared" si="25"/>
        <v>21.142464693435951</v>
      </c>
      <c r="AA23" s="40">
        <f t="shared" si="39"/>
        <v>37.286842993044935</v>
      </c>
      <c r="AC23" s="16">
        <f t="shared" si="26"/>
        <v>0.17298163592151028</v>
      </c>
      <c r="AD23" s="26">
        <f t="shared" si="27"/>
        <v>5.7809604740571769</v>
      </c>
      <c r="AE23" s="51">
        <v>11</v>
      </c>
      <c r="AF23" s="85" t="str">
        <f t="shared" si="28"/>
        <v>NOEC</v>
      </c>
      <c r="AG23" s="9">
        <f t="shared" si="29"/>
        <v>1</v>
      </c>
      <c r="AH23" s="18">
        <f t="shared" si="30"/>
        <v>37.286842993044935</v>
      </c>
      <c r="AI23" s="88" t="str">
        <f t="shared" si="31"/>
        <v>Chronic</v>
      </c>
      <c r="AJ23" s="9">
        <f t="shared" si="32"/>
        <v>1</v>
      </c>
      <c r="AK23" s="18">
        <f t="shared" si="33"/>
        <v>37.286842993044935</v>
      </c>
      <c r="AL23" s="16"/>
      <c r="AM23" s="101" t="str">
        <f t="shared" si="34"/>
        <v>NOEC</v>
      </c>
      <c r="AN23" s="102" t="s">
        <v>356</v>
      </c>
      <c r="AO23" s="103" t="str">
        <f t="shared" si="35"/>
        <v>Chronic</v>
      </c>
      <c r="AP23" s="102" t="str">
        <f t="shared" si="40"/>
        <v>y</v>
      </c>
      <c r="AQ23" s="104" t="str">
        <f t="shared" si="36"/>
        <v>Mean total young/daphnid</v>
      </c>
      <c r="AR23" s="102" t="s">
        <v>459</v>
      </c>
      <c r="AS23" s="105">
        <f t="shared" si="37"/>
        <v>21</v>
      </c>
      <c r="AT23" s="102" t="s">
        <v>460</v>
      </c>
      <c r="AU23" s="102"/>
      <c r="AV23" s="147">
        <f t="shared" si="38"/>
        <v>37.286842993044935</v>
      </c>
      <c r="AW23" s="107">
        <f>GEOMEAN(AV23:AV23)</f>
        <v>37.286842993044935</v>
      </c>
      <c r="AX23" s="108">
        <f>MIN(AW23)</f>
        <v>37.286842993044935</v>
      </c>
      <c r="AY23" s="109"/>
    </row>
    <row r="24" spans="1:91" x14ac:dyDescent="0.2">
      <c r="A24" s="32" t="s">
        <v>87</v>
      </c>
      <c r="B24" s="33">
        <v>240</v>
      </c>
      <c r="C24" s="34" t="s">
        <v>24</v>
      </c>
      <c r="D24" s="35" t="s">
        <v>77</v>
      </c>
      <c r="E24" s="33" t="s">
        <v>61</v>
      </c>
      <c r="F24" s="33" t="s">
        <v>62</v>
      </c>
      <c r="G24" s="33" t="s">
        <v>52</v>
      </c>
      <c r="H24" s="33" t="s">
        <v>571</v>
      </c>
      <c r="I24" s="36" t="s">
        <v>78</v>
      </c>
      <c r="J24" s="36" t="s">
        <v>83</v>
      </c>
      <c r="K24" s="36" t="s">
        <v>88</v>
      </c>
      <c r="L24" s="36" t="s">
        <v>54</v>
      </c>
      <c r="M24" s="36">
        <v>21</v>
      </c>
      <c r="N24" s="33" t="s">
        <v>55</v>
      </c>
      <c r="O24" s="37" t="s">
        <v>33</v>
      </c>
      <c r="P24" s="38" t="s">
        <v>79</v>
      </c>
      <c r="Q24" s="33" t="s">
        <v>80</v>
      </c>
      <c r="R24" s="40">
        <v>19.8</v>
      </c>
      <c r="S24" s="33" t="s">
        <v>81</v>
      </c>
      <c r="T24" s="33">
        <v>8.4499999999999993</v>
      </c>
      <c r="U24" s="33">
        <v>9.9039999999999999</v>
      </c>
      <c r="V24" s="44" t="s">
        <v>37</v>
      </c>
      <c r="W24" s="44" t="s">
        <v>37</v>
      </c>
      <c r="X24" s="33">
        <v>420</v>
      </c>
      <c r="Y24" s="40">
        <f t="shared" si="24"/>
        <v>4.2407108239095308</v>
      </c>
      <c r="Z24" s="40">
        <f t="shared" si="25"/>
        <v>21.142464693435951</v>
      </c>
      <c r="AA24" s="40">
        <f t="shared" si="39"/>
        <v>37.286842993044935</v>
      </c>
      <c r="AC24" s="16">
        <f t="shared" si="26"/>
        <v>0.17298163592151028</v>
      </c>
      <c r="AD24" s="26">
        <f t="shared" si="27"/>
        <v>5.7809604740571769</v>
      </c>
      <c r="AE24" s="51">
        <v>11</v>
      </c>
      <c r="AF24" s="85" t="str">
        <f t="shared" si="28"/>
        <v>NOEC</v>
      </c>
      <c r="AG24" s="9">
        <f t="shared" si="29"/>
        <v>1</v>
      </c>
      <c r="AH24" s="18">
        <f t="shared" si="30"/>
        <v>37.286842993044935</v>
      </c>
      <c r="AI24" s="88" t="str">
        <f t="shared" si="31"/>
        <v>Chronic</v>
      </c>
      <c r="AJ24" s="9">
        <f t="shared" si="32"/>
        <v>1</v>
      </c>
      <c r="AK24" s="18">
        <f t="shared" si="33"/>
        <v>37.286842993044935</v>
      </c>
      <c r="AL24" s="16"/>
      <c r="AM24" s="132" t="str">
        <f t="shared" si="34"/>
        <v>NOEC</v>
      </c>
      <c r="AN24" s="67" t="s">
        <v>356</v>
      </c>
      <c r="AO24" s="88" t="str">
        <f t="shared" si="35"/>
        <v>Chronic</v>
      </c>
      <c r="AP24" s="67" t="str">
        <f t="shared" si="40"/>
        <v>y</v>
      </c>
      <c r="AQ24" s="69" t="str">
        <f t="shared" si="36"/>
        <v>Mean brood size/daphnid</v>
      </c>
      <c r="AR24" s="67" t="s">
        <v>475</v>
      </c>
      <c r="AS24" s="70">
        <f t="shared" si="37"/>
        <v>21</v>
      </c>
      <c r="AT24" s="67" t="s">
        <v>476</v>
      </c>
      <c r="AU24" s="67"/>
      <c r="AV24" s="82">
        <f t="shared" si="38"/>
        <v>37.286842993044935</v>
      </c>
      <c r="AW24" s="81">
        <f>GEOMEAN(AV24:AV24)</f>
        <v>37.286842993044935</v>
      </c>
      <c r="AX24" s="78">
        <f>MIN(AW24)</f>
        <v>37.286842993044935</v>
      </c>
      <c r="AY24" s="133"/>
    </row>
    <row r="25" spans="1:91" x14ac:dyDescent="0.2">
      <c r="A25" s="32" t="s">
        <v>89</v>
      </c>
      <c r="B25" s="33">
        <v>240</v>
      </c>
      <c r="C25" s="34" t="s">
        <v>24</v>
      </c>
      <c r="D25" s="35" t="s">
        <v>77</v>
      </c>
      <c r="E25" s="33" t="s">
        <v>61</v>
      </c>
      <c r="F25" s="33" t="s">
        <v>62</v>
      </c>
      <c r="G25" s="33" t="s">
        <v>52</v>
      </c>
      <c r="H25" s="33" t="s">
        <v>571</v>
      </c>
      <c r="I25" s="36" t="s">
        <v>78</v>
      </c>
      <c r="J25" s="36" t="s">
        <v>53</v>
      </c>
      <c r="K25" s="36" t="s">
        <v>53</v>
      </c>
      <c r="L25" s="36" t="s">
        <v>54</v>
      </c>
      <c r="M25" s="36">
        <v>21</v>
      </c>
      <c r="N25" s="33" t="s">
        <v>55</v>
      </c>
      <c r="O25" s="37" t="s">
        <v>33</v>
      </c>
      <c r="P25" s="38" t="s">
        <v>79</v>
      </c>
      <c r="Q25" s="33" t="s">
        <v>80</v>
      </c>
      <c r="R25" s="40">
        <v>19.8</v>
      </c>
      <c r="S25" s="33" t="s">
        <v>81</v>
      </c>
      <c r="T25" s="33">
        <v>8.4499999999999993</v>
      </c>
      <c r="U25" s="33">
        <v>9.9039999999999999</v>
      </c>
      <c r="V25" s="44" t="s">
        <v>37</v>
      </c>
      <c r="W25" s="44" t="s">
        <v>37</v>
      </c>
      <c r="X25" s="33">
        <v>420</v>
      </c>
      <c r="Y25" s="40">
        <f t="shared" si="24"/>
        <v>4.2407108239095308</v>
      </c>
      <c r="Z25" s="40">
        <f t="shared" si="25"/>
        <v>21.142464693435951</v>
      </c>
      <c r="AA25" s="40">
        <f t="shared" si="39"/>
        <v>37.286842993044935</v>
      </c>
      <c r="AC25" s="16">
        <f t="shared" si="26"/>
        <v>0.17298163592151028</v>
      </c>
      <c r="AD25" s="26">
        <f t="shared" si="27"/>
        <v>5.7809604740571769</v>
      </c>
      <c r="AE25" s="51">
        <v>11</v>
      </c>
      <c r="AF25" s="85" t="str">
        <f t="shared" si="28"/>
        <v>NOEC</v>
      </c>
      <c r="AG25" s="9">
        <f t="shared" si="29"/>
        <v>1</v>
      </c>
      <c r="AH25" s="18">
        <f t="shared" si="30"/>
        <v>37.286842993044935</v>
      </c>
      <c r="AI25" s="88" t="str">
        <f t="shared" si="31"/>
        <v>Chronic</v>
      </c>
      <c r="AJ25" s="9">
        <f t="shared" si="32"/>
        <v>1</v>
      </c>
      <c r="AK25" s="18">
        <f t="shared" si="33"/>
        <v>37.286842993044935</v>
      </c>
      <c r="AL25" s="16"/>
      <c r="AM25" s="110" t="str">
        <f t="shared" si="34"/>
        <v>NOEC</v>
      </c>
      <c r="AN25" s="111" t="s">
        <v>356</v>
      </c>
      <c r="AO25" s="112" t="str">
        <f t="shared" si="35"/>
        <v>Chronic</v>
      </c>
      <c r="AP25" s="111" t="str">
        <f t="shared" si="40"/>
        <v>y</v>
      </c>
      <c r="AQ25" s="134" t="str">
        <f t="shared" si="36"/>
        <v>Mortality</v>
      </c>
      <c r="AR25" s="111" t="s">
        <v>55</v>
      </c>
      <c r="AS25" s="114">
        <f t="shared" si="37"/>
        <v>21</v>
      </c>
      <c r="AT25" s="111" t="s">
        <v>477</v>
      </c>
      <c r="AU25" s="111"/>
      <c r="AV25" s="138">
        <f t="shared" si="38"/>
        <v>37.286842993044935</v>
      </c>
      <c r="AW25" s="135">
        <f>GEOMEAN(AV25:AV25)</f>
        <v>37.286842993044935</v>
      </c>
      <c r="AX25" s="136">
        <f>MIN(AW25)</f>
        <v>37.286842993044935</v>
      </c>
      <c r="AY25" s="137">
        <f>MIN(AX23:AX25)</f>
        <v>37.286842993044935</v>
      </c>
    </row>
    <row r="26" spans="1:91" x14ac:dyDescent="0.2">
      <c r="A26" s="19" t="s">
        <v>90</v>
      </c>
      <c r="B26" s="23">
        <v>231</v>
      </c>
      <c r="C26" s="10" t="s">
        <v>24</v>
      </c>
      <c r="D26" s="11" t="s">
        <v>91</v>
      </c>
      <c r="E26" s="9" t="s">
        <v>61</v>
      </c>
      <c r="F26" s="9" t="s">
        <v>92</v>
      </c>
      <c r="G26" s="9" t="s">
        <v>93</v>
      </c>
      <c r="H26" s="9" t="s">
        <v>571</v>
      </c>
      <c r="I26" s="9" t="s">
        <v>94</v>
      </c>
      <c r="J26" s="12" t="s">
        <v>53</v>
      </c>
      <c r="K26" s="12" t="s">
        <v>95</v>
      </c>
      <c r="L26" s="12" t="s">
        <v>54</v>
      </c>
      <c r="M26" s="9">
        <v>29</v>
      </c>
      <c r="N26" s="9" t="s">
        <v>55</v>
      </c>
      <c r="O26" s="9" t="s">
        <v>33</v>
      </c>
      <c r="P26" s="14" t="s">
        <v>96</v>
      </c>
      <c r="Q26" s="23">
        <v>15.8</v>
      </c>
      <c r="R26" s="94">
        <v>15.8</v>
      </c>
      <c r="S26" s="9">
        <v>8.3699999999999992</v>
      </c>
      <c r="T26" s="9">
        <v>8.3699999999999992</v>
      </c>
      <c r="U26" s="9">
        <v>6.3609999999999998</v>
      </c>
      <c r="V26" s="9">
        <v>0.94899999999999995</v>
      </c>
      <c r="W26" s="9">
        <v>66</v>
      </c>
      <c r="X26" s="9">
        <v>66</v>
      </c>
      <c r="Y26" s="9">
        <v>0.94899999999999995</v>
      </c>
      <c r="Z26" s="15">
        <f t="shared" si="25"/>
        <v>4.1349303568432507</v>
      </c>
      <c r="AA26" s="15">
        <f t="shared" si="39"/>
        <v>5.6346662769000071</v>
      </c>
      <c r="AC26" s="16">
        <f t="shared" si="26"/>
        <v>0.20796966871036979</v>
      </c>
      <c r="AD26" s="26">
        <f t="shared" si="27"/>
        <v>4.8083934844972802</v>
      </c>
      <c r="AE26" s="51">
        <v>11</v>
      </c>
      <c r="AF26" s="85" t="str">
        <f t="shared" si="28"/>
        <v>NOEC</v>
      </c>
      <c r="AG26" s="9">
        <f t="shared" si="29"/>
        <v>1</v>
      </c>
      <c r="AH26" s="18">
        <f t="shared" si="30"/>
        <v>5.6346662769000071</v>
      </c>
      <c r="AI26" s="88" t="str">
        <f t="shared" si="31"/>
        <v>Chronic</v>
      </c>
      <c r="AJ26" s="9">
        <f t="shared" si="32"/>
        <v>1</v>
      </c>
      <c r="AK26" s="18">
        <f t="shared" si="33"/>
        <v>5.6346662769000071</v>
      </c>
      <c r="AL26" s="16"/>
      <c r="AM26" s="127" t="str">
        <f t="shared" si="34"/>
        <v>NOEC</v>
      </c>
      <c r="AN26" s="128" t="s">
        <v>356</v>
      </c>
      <c r="AO26" s="129" t="str">
        <f t="shared" si="35"/>
        <v>Chronic</v>
      </c>
      <c r="AP26" s="128" t="str">
        <f t="shared" si="40"/>
        <v>y</v>
      </c>
      <c r="AQ26" s="130" t="str">
        <f t="shared" si="36"/>
        <v>Mortality (of juvenile Deleatidium sp.)</v>
      </c>
      <c r="AR26" s="128" t="s">
        <v>459</v>
      </c>
      <c r="AS26" s="131">
        <f t="shared" si="37"/>
        <v>29</v>
      </c>
      <c r="AT26" s="128" t="s">
        <v>460</v>
      </c>
      <c r="AU26" s="128"/>
      <c r="AV26" s="143">
        <f t="shared" si="38"/>
        <v>5.6346662769000071</v>
      </c>
      <c r="AW26" s="144">
        <f t="shared" ref="AW26:AW27" si="41">GEOMEAN(AV26:AV26)</f>
        <v>5.6346662769000071</v>
      </c>
      <c r="AX26" s="141">
        <f>MIN(AW26)</f>
        <v>5.6346662769000071</v>
      </c>
      <c r="AY26" s="142">
        <f>MIN(AX26:AX26)</f>
        <v>5.6346662769000071</v>
      </c>
    </row>
    <row r="27" spans="1:91" x14ac:dyDescent="0.2">
      <c r="A27" s="32" t="s">
        <v>97</v>
      </c>
      <c r="B27" s="44">
        <v>221</v>
      </c>
      <c r="C27" s="34" t="s">
        <v>24</v>
      </c>
      <c r="D27" s="35" t="s">
        <v>98</v>
      </c>
      <c r="E27" s="33" t="s">
        <v>61</v>
      </c>
      <c r="F27" s="33" t="s">
        <v>99</v>
      </c>
      <c r="G27" s="33" t="s">
        <v>93</v>
      </c>
      <c r="H27" s="33" t="s">
        <v>571</v>
      </c>
      <c r="I27" s="36" t="s">
        <v>100</v>
      </c>
      <c r="J27" s="36" t="s">
        <v>64</v>
      </c>
      <c r="K27" s="44" t="s">
        <v>101</v>
      </c>
      <c r="L27" s="36" t="s">
        <v>54</v>
      </c>
      <c r="M27" s="36">
        <v>10</v>
      </c>
      <c r="N27" s="33" t="s">
        <v>102</v>
      </c>
      <c r="O27" s="33" t="s">
        <v>33</v>
      </c>
      <c r="P27" s="45" t="s">
        <v>103</v>
      </c>
      <c r="Q27" s="44">
        <v>25</v>
      </c>
      <c r="R27" s="44">
        <v>25</v>
      </c>
      <c r="S27" s="33" t="s">
        <v>104</v>
      </c>
      <c r="T27" s="33">
        <v>8.0399999999999991</v>
      </c>
      <c r="U27" s="46">
        <v>5.8536524151080886</v>
      </c>
      <c r="V27" s="33">
        <v>2.5</v>
      </c>
      <c r="W27" s="33" t="s">
        <v>37</v>
      </c>
      <c r="X27" s="39">
        <f t="shared" ref="X27" si="42">(V27)*(U27/100)*1000</f>
        <v>146.3413103777022</v>
      </c>
      <c r="Y27" s="33">
        <v>2.5</v>
      </c>
      <c r="Z27" s="40">
        <f t="shared" si="25"/>
        <v>6.4367096033276967</v>
      </c>
      <c r="AA27" s="40">
        <f t="shared" si="39"/>
        <v>15.873179084160144</v>
      </c>
      <c r="AC27" s="16">
        <f t="shared" si="26"/>
        <v>0.4446312674691093</v>
      </c>
      <c r="AD27" s="26">
        <f t="shared" si="27"/>
        <v>2.2490546058357781</v>
      </c>
      <c r="AE27" s="51">
        <v>11</v>
      </c>
      <c r="AF27" s="85" t="str">
        <f t="shared" si="28"/>
        <v>NOEC</v>
      </c>
      <c r="AG27" s="9">
        <f t="shared" si="29"/>
        <v>1</v>
      </c>
      <c r="AH27" s="18">
        <f t="shared" si="30"/>
        <v>15.873179084160144</v>
      </c>
      <c r="AI27" s="88" t="str">
        <f t="shared" si="31"/>
        <v>Chronic</v>
      </c>
      <c r="AJ27" s="9">
        <f t="shared" si="32"/>
        <v>1</v>
      </c>
      <c r="AK27" s="18">
        <f t="shared" si="33"/>
        <v>15.873179084160144</v>
      </c>
      <c r="AL27" s="16"/>
      <c r="AM27" s="101" t="str">
        <f t="shared" si="34"/>
        <v>NOEC</v>
      </c>
      <c r="AN27" s="102" t="s">
        <v>356</v>
      </c>
      <c r="AO27" s="103" t="str">
        <f t="shared" si="35"/>
        <v>Chronic</v>
      </c>
      <c r="AP27" s="102" t="str">
        <f t="shared" si="40"/>
        <v>y</v>
      </c>
      <c r="AQ27" s="104" t="str">
        <f t="shared" si="36"/>
        <v>Reproduction (average young per replicate)</v>
      </c>
      <c r="AR27" s="102" t="s">
        <v>459</v>
      </c>
      <c r="AS27" s="105">
        <f t="shared" si="37"/>
        <v>10</v>
      </c>
      <c r="AT27" s="102" t="s">
        <v>460</v>
      </c>
      <c r="AU27" s="102"/>
      <c r="AV27" s="106">
        <f t="shared" si="38"/>
        <v>15.873179084160144</v>
      </c>
      <c r="AW27" s="107">
        <f t="shared" si="41"/>
        <v>15.873179084160144</v>
      </c>
      <c r="AX27" s="78">
        <f>MIN(AW27:AW27)</f>
        <v>15.873179084160144</v>
      </c>
      <c r="AY27" s="109">
        <f>MIN(AX27:AX27)</f>
        <v>15.873179084160144</v>
      </c>
    </row>
    <row r="28" spans="1:91" x14ac:dyDescent="0.2">
      <c r="A28" s="19" t="s">
        <v>119</v>
      </c>
      <c r="B28" s="9">
        <v>235</v>
      </c>
      <c r="C28" s="10" t="s">
        <v>24</v>
      </c>
      <c r="D28" s="11" t="s">
        <v>120</v>
      </c>
      <c r="E28" s="9" t="s">
        <v>121</v>
      </c>
      <c r="F28" s="9" t="s">
        <v>122</v>
      </c>
      <c r="G28" s="9" t="s">
        <v>52</v>
      </c>
      <c r="H28" s="9" t="s">
        <v>571</v>
      </c>
      <c r="I28" s="12" t="s">
        <v>37</v>
      </c>
      <c r="J28" s="12" t="s">
        <v>123</v>
      </c>
      <c r="K28" s="12" t="s">
        <v>123</v>
      </c>
      <c r="L28" s="12" t="s">
        <v>54</v>
      </c>
      <c r="M28" s="12">
        <v>40</v>
      </c>
      <c r="N28" s="9" t="s">
        <v>55</v>
      </c>
      <c r="O28" s="13" t="s">
        <v>33</v>
      </c>
      <c r="P28" s="14" t="s">
        <v>56</v>
      </c>
      <c r="Q28" s="9" t="s">
        <v>438</v>
      </c>
      <c r="R28" s="9">
        <v>15.3</v>
      </c>
      <c r="S28" s="9" t="s">
        <v>124</v>
      </c>
      <c r="T28" s="9">
        <v>8.1</v>
      </c>
      <c r="U28" s="9">
        <v>3.3940000000000001</v>
      </c>
      <c r="V28" s="18">
        <v>2.1</v>
      </c>
      <c r="W28" s="9">
        <v>70</v>
      </c>
      <c r="X28" s="9">
        <v>70</v>
      </c>
      <c r="Y28" s="18">
        <v>2.1</v>
      </c>
      <c r="Z28" s="15">
        <f t="shared" si="25"/>
        <v>5.9178920071141139</v>
      </c>
      <c r="AA28" s="15">
        <f t="shared" si="39"/>
        <v>7.8084895901502032</v>
      </c>
      <c r="AC28" s="16">
        <f t="shared" si="26"/>
        <v>0.38725764492161724</v>
      </c>
      <c r="AD28" s="26">
        <f t="shared" si="27"/>
        <v>2.5822601906345959</v>
      </c>
      <c r="AE28" s="51">
        <v>11</v>
      </c>
      <c r="AF28" s="85" t="str">
        <f t="shared" si="28"/>
        <v>NOEC</v>
      </c>
      <c r="AG28" s="9">
        <f t="shared" si="29"/>
        <v>1</v>
      </c>
      <c r="AH28" s="18">
        <f t="shared" si="30"/>
        <v>7.8084895901502032</v>
      </c>
      <c r="AI28" s="88" t="str">
        <f t="shared" si="31"/>
        <v>Chronic</v>
      </c>
      <c r="AJ28" s="9">
        <f t="shared" si="32"/>
        <v>1</v>
      </c>
      <c r="AK28" s="18">
        <f t="shared" si="33"/>
        <v>7.8084895901502032</v>
      </c>
      <c r="AL28" s="16"/>
      <c r="AM28" s="127" t="str">
        <f t="shared" si="34"/>
        <v>NOEC</v>
      </c>
      <c r="AN28" s="128" t="s">
        <v>356</v>
      </c>
      <c r="AO28" s="129" t="str">
        <f t="shared" si="35"/>
        <v>Chronic</v>
      </c>
      <c r="AP28" s="128" t="str">
        <f t="shared" si="40"/>
        <v>y</v>
      </c>
      <c r="AQ28" s="130" t="str">
        <f t="shared" si="36"/>
        <v>Immobility</v>
      </c>
      <c r="AR28" s="128" t="s">
        <v>459</v>
      </c>
      <c r="AS28" s="131">
        <f t="shared" si="37"/>
        <v>40</v>
      </c>
      <c r="AT28" s="128" t="s">
        <v>460</v>
      </c>
      <c r="AU28" s="128"/>
      <c r="AV28" s="143">
        <f>AK28</f>
        <v>7.8084895901502032</v>
      </c>
      <c r="AW28" s="144">
        <f>GEOMEAN(AV28:AV28)</f>
        <v>7.8084895901502032</v>
      </c>
      <c r="AX28" s="148">
        <f>MIN(AW28)</f>
        <v>7.8084895901502032</v>
      </c>
      <c r="AY28" s="149">
        <f>MIN(AX28)</f>
        <v>7.8084895901502032</v>
      </c>
    </row>
    <row r="29" spans="1:91" x14ac:dyDescent="0.2">
      <c r="A29" s="32" t="s">
        <v>132</v>
      </c>
      <c r="B29" s="33">
        <v>254</v>
      </c>
      <c r="C29" s="34" t="s">
        <v>24</v>
      </c>
      <c r="D29" s="35" t="s">
        <v>126</v>
      </c>
      <c r="E29" s="33" t="s">
        <v>121</v>
      </c>
      <c r="F29" s="33" t="s">
        <v>127</v>
      </c>
      <c r="G29" s="33" t="s">
        <v>52</v>
      </c>
      <c r="H29" s="33" t="s">
        <v>571</v>
      </c>
      <c r="I29" s="36" t="s">
        <v>128</v>
      </c>
      <c r="J29" s="36" t="s">
        <v>53</v>
      </c>
      <c r="K29" s="36" t="s">
        <v>53</v>
      </c>
      <c r="L29" s="36" t="s">
        <v>133</v>
      </c>
      <c r="M29" s="36">
        <v>28</v>
      </c>
      <c r="N29" s="33" t="s">
        <v>55</v>
      </c>
      <c r="O29" s="37" t="s">
        <v>33</v>
      </c>
      <c r="P29" s="38" t="s">
        <v>129</v>
      </c>
      <c r="Q29" s="33" t="s">
        <v>130</v>
      </c>
      <c r="R29" s="33">
        <v>20</v>
      </c>
      <c r="S29" s="33" t="s">
        <v>131</v>
      </c>
      <c r="T29" s="33">
        <v>8.1999999999999993</v>
      </c>
      <c r="U29" s="33">
        <v>5.9020000000000001</v>
      </c>
      <c r="V29" s="33" t="s">
        <v>134</v>
      </c>
      <c r="W29" s="33" t="s">
        <v>37</v>
      </c>
      <c r="X29" s="33">
        <v>7.67</v>
      </c>
      <c r="Y29" s="33">
        <v>0.13</v>
      </c>
      <c r="Z29" s="40">
        <f t="shared" si="25"/>
        <v>0.4284575216169903</v>
      </c>
      <c r="AA29" s="40">
        <f t="shared" si="39"/>
        <v>0.76543403872065696</v>
      </c>
      <c r="AB29" t="s">
        <v>577</v>
      </c>
      <c r="AC29" s="16">
        <f t="shared" si="26"/>
        <v>0.30760968147407108</v>
      </c>
      <c r="AD29" s="26">
        <f t="shared" si="27"/>
        <v>3.2508729738543409</v>
      </c>
      <c r="AE29" s="51">
        <v>11</v>
      </c>
      <c r="AF29" s="85" t="str">
        <f t="shared" si="28"/>
        <v>IC10</v>
      </c>
      <c r="AG29" s="9">
        <f t="shared" si="29"/>
        <v>1</v>
      </c>
      <c r="AH29" s="18">
        <f t="shared" si="30"/>
        <v>0.76543403872065696</v>
      </c>
      <c r="AI29" s="88" t="str">
        <f t="shared" si="31"/>
        <v>Chronic</v>
      </c>
      <c r="AJ29" s="9">
        <f t="shared" si="32"/>
        <v>1</v>
      </c>
      <c r="AK29" s="18">
        <f t="shared" si="33"/>
        <v>0.76543403872065696</v>
      </c>
      <c r="AL29" s="16"/>
      <c r="AM29" s="132" t="str">
        <f t="shared" si="34"/>
        <v>IC10</v>
      </c>
      <c r="AN29" s="67" t="s">
        <v>356</v>
      </c>
      <c r="AO29" s="88" t="str">
        <f t="shared" si="35"/>
        <v>Chronic</v>
      </c>
      <c r="AP29" s="67" t="str">
        <f t="shared" si="40"/>
        <v>y</v>
      </c>
      <c r="AQ29" s="69" t="str">
        <f t="shared" si="36"/>
        <v>Mortality</v>
      </c>
      <c r="AR29" s="67" t="s">
        <v>459</v>
      </c>
      <c r="AS29" s="70">
        <f t="shared" si="37"/>
        <v>28</v>
      </c>
      <c r="AT29" s="67" t="s">
        <v>460</v>
      </c>
      <c r="AU29" s="67"/>
      <c r="AV29" s="151">
        <f>AK29</f>
        <v>0.76543403872065696</v>
      </c>
      <c r="AW29" s="95">
        <f>GEOMEAN(AV29:AV29)</f>
        <v>0.76543403872065696</v>
      </c>
      <c r="AX29" s="96">
        <f>MIN(AW29)</f>
        <v>0.76543403872065696</v>
      </c>
      <c r="AY29" s="153">
        <f>MIN(AX29)</f>
        <v>0.76543403872065696</v>
      </c>
    </row>
    <row r="30" spans="1:91" x14ac:dyDescent="0.2">
      <c r="A30" s="19" t="s">
        <v>144</v>
      </c>
      <c r="B30" s="9">
        <v>253</v>
      </c>
      <c r="C30" s="10" t="s">
        <v>24</v>
      </c>
      <c r="D30" s="11" t="s">
        <v>139</v>
      </c>
      <c r="E30" s="9" t="s">
        <v>121</v>
      </c>
      <c r="F30" s="9" t="s">
        <v>127</v>
      </c>
      <c r="G30" s="9" t="s">
        <v>52</v>
      </c>
      <c r="H30" s="9" t="s">
        <v>571</v>
      </c>
      <c r="I30" s="12" t="s">
        <v>140</v>
      </c>
      <c r="J30" s="12" t="s">
        <v>53</v>
      </c>
      <c r="K30" s="12" t="s">
        <v>53</v>
      </c>
      <c r="L30" s="12" t="s">
        <v>31</v>
      </c>
      <c r="M30" s="12">
        <v>28</v>
      </c>
      <c r="N30" s="9" t="s">
        <v>55</v>
      </c>
      <c r="O30" s="13" t="s">
        <v>33</v>
      </c>
      <c r="P30" s="14" t="s">
        <v>141</v>
      </c>
      <c r="Q30" s="9">
        <v>20</v>
      </c>
      <c r="R30" s="9">
        <v>20</v>
      </c>
      <c r="S30" s="9" t="s">
        <v>142</v>
      </c>
      <c r="T30" s="9">
        <v>8.26</v>
      </c>
      <c r="U30" s="9">
        <v>6.718</v>
      </c>
      <c r="V30" s="9">
        <v>0.54</v>
      </c>
      <c r="W30" s="9" t="s">
        <v>37</v>
      </c>
      <c r="X30" s="9">
        <v>36.299999999999997</v>
      </c>
      <c r="Y30" s="9">
        <v>0.54</v>
      </c>
      <c r="Z30" s="15">
        <f t="shared" si="25"/>
        <v>1.9610361754850452</v>
      </c>
      <c r="AA30" s="15">
        <f t="shared" si="39"/>
        <v>3.5033667613394197</v>
      </c>
      <c r="AC30" s="16">
        <f t="shared" si="26"/>
        <v>0.26791683248190312</v>
      </c>
      <c r="AD30" s="26">
        <f t="shared" si="27"/>
        <v>3.7325015779572066</v>
      </c>
      <c r="AE30" s="51">
        <v>11</v>
      </c>
      <c r="AF30" s="85" t="str">
        <f t="shared" si="28"/>
        <v>EC10</v>
      </c>
      <c r="AG30" s="9">
        <f t="shared" si="29"/>
        <v>1</v>
      </c>
      <c r="AH30" s="18">
        <f t="shared" si="30"/>
        <v>3.5033667613394197</v>
      </c>
      <c r="AI30" s="88" t="str">
        <f t="shared" si="31"/>
        <v>Chronic</v>
      </c>
      <c r="AJ30" s="9">
        <f t="shared" si="32"/>
        <v>1</v>
      </c>
      <c r="AK30" s="18">
        <f t="shared" si="33"/>
        <v>3.5033667613394197</v>
      </c>
      <c r="AM30" s="101" t="str">
        <f t="shared" si="34"/>
        <v>EC10</v>
      </c>
      <c r="AN30" s="102" t="s">
        <v>356</v>
      </c>
      <c r="AO30" s="103" t="str">
        <f t="shared" si="35"/>
        <v>Chronic</v>
      </c>
      <c r="AP30" s="102" t="str">
        <f t="shared" si="40"/>
        <v>y</v>
      </c>
      <c r="AQ30" s="104" t="str">
        <f t="shared" si="36"/>
        <v>Mortality</v>
      </c>
      <c r="AR30" s="196" t="s">
        <v>459</v>
      </c>
      <c r="AS30" s="105">
        <f t="shared" si="37"/>
        <v>28</v>
      </c>
      <c r="AT30" s="158" t="s">
        <v>460</v>
      </c>
      <c r="AU30" s="197"/>
      <c r="AV30" s="154">
        <f t="shared" ref="AV30:AV33" si="43">AK30</f>
        <v>3.5033667613394197</v>
      </c>
      <c r="AW30" s="155"/>
      <c r="AX30" s="197"/>
      <c r="AY30" s="198"/>
    </row>
    <row r="31" spans="1:91" x14ac:dyDescent="0.2">
      <c r="A31" s="19" t="s">
        <v>146</v>
      </c>
      <c r="B31" s="9">
        <v>254</v>
      </c>
      <c r="C31" s="10" t="s">
        <v>24</v>
      </c>
      <c r="D31" s="11" t="s">
        <v>139</v>
      </c>
      <c r="E31" s="9" t="s">
        <v>121</v>
      </c>
      <c r="F31" s="9" t="s">
        <v>127</v>
      </c>
      <c r="G31" s="9" t="s">
        <v>52</v>
      </c>
      <c r="H31" s="9" t="s">
        <v>571</v>
      </c>
      <c r="I31" s="12" t="s">
        <v>140</v>
      </c>
      <c r="J31" s="12" t="s">
        <v>53</v>
      </c>
      <c r="K31" s="12" t="s">
        <v>53</v>
      </c>
      <c r="L31" s="12" t="s">
        <v>133</v>
      </c>
      <c r="M31" s="12">
        <v>28</v>
      </c>
      <c r="N31" s="9" t="s">
        <v>55</v>
      </c>
      <c r="O31" s="13" t="s">
        <v>33</v>
      </c>
      <c r="P31" s="14" t="s">
        <v>129</v>
      </c>
      <c r="Q31" s="9" t="s">
        <v>130</v>
      </c>
      <c r="R31" s="9">
        <v>20</v>
      </c>
      <c r="S31" s="9" t="s">
        <v>131</v>
      </c>
      <c r="T31" s="9">
        <v>8.1999999999999993</v>
      </c>
      <c r="U31" s="9">
        <v>5.9020000000000001</v>
      </c>
      <c r="V31" s="9" t="s">
        <v>134</v>
      </c>
      <c r="W31" s="9" t="s">
        <v>37</v>
      </c>
      <c r="X31" s="9">
        <v>7.67</v>
      </c>
      <c r="Y31" s="9">
        <v>0.13</v>
      </c>
      <c r="Z31" s="15">
        <f t="shared" si="25"/>
        <v>0.4284575216169903</v>
      </c>
      <c r="AA31" s="15">
        <f t="shared" si="39"/>
        <v>0.76543403872065696</v>
      </c>
      <c r="AB31" t="s">
        <v>577</v>
      </c>
      <c r="AC31" s="16">
        <f t="shared" si="26"/>
        <v>0.30760968147407108</v>
      </c>
      <c r="AD31" s="26">
        <f t="shared" si="27"/>
        <v>3.2508729738543409</v>
      </c>
      <c r="AE31" s="51">
        <v>11</v>
      </c>
      <c r="AF31" s="85" t="str">
        <f t="shared" si="28"/>
        <v>IC10</v>
      </c>
      <c r="AG31" s="9">
        <f t="shared" si="29"/>
        <v>1</v>
      </c>
      <c r="AH31" s="18">
        <f t="shared" si="30"/>
        <v>0.76543403872065696</v>
      </c>
      <c r="AI31" s="88" t="str">
        <f t="shared" si="31"/>
        <v>Chronic</v>
      </c>
      <c r="AJ31" s="9">
        <f t="shared" si="32"/>
        <v>1</v>
      </c>
      <c r="AK31" s="18">
        <f t="shared" si="33"/>
        <v>0.76543403872065696</v>
      </c>
      <c r="AL31" s="16"/>
      <c r="AM31" s="110" t="str">
        <f t="shared" si="34"/>
        <v>IC10</v>
      </c>
      <c r="AN31" s="111" t="s">
        <v>356</v>
      </c>
      <c r="AO31" s="112" t="str">
        <f t="shared" si="35"/>
        <v>Chronic</v>
      </c>
      <c r="AP31" s="111" t="str">
        <f t="shared" si="40"/>
        <v>y</v>
      </c>
      <c r="AQ31" s="134" t="str">
        <f t="shared" si="36"/>
        <v>Mortality</v>
      </c>
      <c r="AR31" s="199" t="s">
        <v>459</v>
      </c>
      <c r="AS31" s="114">
        <f t="shared" si="37"/>
        <v>28</v>
      </c>
      <c r="AT31" s="199" t="s">
        <v>460</v>
      </c>
      <c r="AU31" s="200"/>
      <c r="AV31" s="152">
        <f t="shared" si="43"/>
        <v>0.76543403872065696</v>
      </c>
      <c r="AW31" s="140">
        <f>GEOMEAN(AV30:AV31)</f>
        <v>1.6375579895844117</v>
      </c>
      <c r="AX31" s="141">
        <f>MIN(AW31)</f>
        <v>1.6375579895844117</v>
      </c>
      <c r="AY31" s="142">
        <f>MIN(AX31:AX31)</f>
        <v>1.6375579895844117</v>
      </c>
    </row>
    <row r="32" spans="1:91" x14ac:dyDescent="0.2">
      <c r="A32" s="32" t="s">
        <v>148</v>
      </c>
      <c r="B32" s="33">
        <v>256</v>
      </c>
      <c r="C32" s="38" t="s">
        <v>24</v>
      </c>
      <c r="D32" s="35" t="s">
        <v>149</v>
      </c>
      <c r="E32" s="33" t="s">
        <v>121</v>
      </c>
      <c r="F32" s="33" t="s">
        <v>127</v>
      </c>
      <c r="G32" s="33" t="s">
        <v>52</v>
      </c>
      <c r="H32" s="33" t="s">
        <v>571</v>
      </c>
      <c r="I32" s="33" t="s">
        <v>37</v>
      </c>
      <c r="J32" s="36" t="s">
        <v>53</v>
      </c>
      <c r="K32" s="36" t="s">
        <v>53</v>
      </c>
      <c r="L32" s="36" t="s">
        <v>54</v>
      </c>
      <c r="M32" s="36">
        <v>6</v>
      </c>
      <c r="N32" s="33" t="s">
        <v>102</v>
      </c>
      <c r="O32" s="37" t="s">
        <v>33</v>
      </c>
      <c r="P32" s="38" t="s">
        <v>150</v>
      </c>
      <c r="Q32" s="33" t="s">
        <v>151</v>
      </c>
      <c r="R32" s="33">
        <v>21.8</v>
      </c>
      <c r="S32" s="33" t="s">
        <v>152</v>
      </c>
      <c r="T32" s="33">
        <v>7.8</v>
      </c>
      <c r="U32" s="33">
        <v>2.7679999999999998</v>
      </c>
      <c r="V32" s="33" t="s">
        <v>37</v>
      </c>
      <c r="W32" s="33">
        <v>30</v>
      </c>
      <c r="X32" s="33">
        <v>30</v>
      </c>
      <c r="Y32" s="40">
        <f t="shared" ref="Y32" si="44">X32/((U32/100)*1000)</f>
        <v>1.0838150289017343</v>
      </c>
      <c r="Z32" s="40">
        <f t="shared" si="25"/>
        <v>2.0127302212112239</v>
      </c>
      <c r="AA32" s="40">
        <f t="shared" si="39"/>
        <v>4.038179015096226</v>
      </c>
      <c r="AB32" s="16"/>
      <c r="AC32" s="16">
        <f t="shared" si="26"/>
        <v>0.77268058509570214</v>
      </c>
      <c r="AD32" s="26">
        <f t="shared" si="27"/>
        <v>1.2941958414499863</v>
      </c>
      <c r="AE32" s="51">
        <v>11</v>
      </c>
      <c r="AF32" s="85" t="str">
        <f t="shared" si="28"/>
        <v>NOEC</v>
      </c>
      <c r="AG32" s="9">
        <f t="shared" si="29"/>
        <v>1</v>
      </c>
      <c r="AH32" s="18">
        <f t="shared" si="30"/>
        <v>4.038179015096226</v>
      </c>
      <c r="AI32" s="88" t="str">
        <f t="shared" si="31"/>
        <v>Chronic</v>
      </c>
      <c r="AJ32" s="9">
        <f t="shared" si="32"/>
        <v>1</v>
      </c>
      <c r="AK32" s="18">
        <f t="shared" si="33"/>
        <v>4.038179015096226</v>
      </c>
      <c r="AL32" s="16"/>
      <c r="AM32" s="101" t="str">
        <f t="shared" si="34"/>
        <v>NOEC</v>
      </c>
      <c r="AN32" s="102" t="s">
        <v>356</v>
      </c>
      <c r="AO32" s="103" t="str">
        <f t="shared" si="35"/>
        <v>Chronic</v>
      </c>
      <c r="AP32" s="102" t="str">
        <f t="shared" si="40"/>
        <v>y</v>
      </c>
      <c r="AQ32" s="104" t="str">
        <f t="shared" si="36"/>
        <v>Mortality</v>
      </c>
      <c r="AR32" s="102" t="s">
        <v>459</v>
      </c>
      <c r="AS32" s="105">
        <f t="shared" si="37"/>
        <v>6</v>
      </c>
      <c r="AT32" s="102" t="s">
        <v>460</v>
      </c>
      <c r="AU32" s="102"/>
      <c r="AV32" s="154">
        <f t="shared" si="43"/>
        <v>4.038179015096226</v>
      </c>
      <c r="AW32" s="118">
        <f>GEOMEAN(AV32)</f>
        <v>4.038179015096226</v>
      </c>
      <c r="AX32" s="119">
        <f>MIN(AW32:AW32)</f>
        <v>4.038179015096226</v>
      </c>
      <c r="AY32" s="126">
        <f>MIN(AX32)</f>
        <v>4.038179015096226</v>
      </c>
    </row>
    <row r="33" spans="1:52" x14ac:dyDescent="0.2">
      <c r="A33" s="8" t="s">
        <v>168</v>
      </c>
      <c r="B33" s="9">
        <v>242</v>
      </c>
      <c r="C33" s="10" t="s">
        <v>24</v>
      </c>
      <c r="D33" s="11" t="s">
        <v>155</v>
      </c>
      <c r="E33" s="9" t="s">
        <v>121</v>
      </c>
      <c r="F33" s="9" t="s">
        <v>127</v>
      </c>
      <c r="G33" s="9" t="s">
        <v>52</v>
      </c>
      <c r="H33" s="9" t="s">
        <v>571</v>
      </c>
      <c r="I33" s="12" t="s">
        <v>156</v>
      </c>
      <c r="J33" s="12" t="s">
        <v>136</v>
      </c>
      <c r="K33" s="12" t="s">
        <v>169</v>
      </c>
      <c r="L33" s="12" t="s">
        <v>54</v>
      </c>
      <c r="M33" s="12">
        <v>60</v>
      </c>
      <c r="N33" s="9" t="s">
        <v>55</v>
      </c>
      <c r="O33" s="13" t="s">
        <v>33</v>
      </c>
      <c r="P33" s="14" t="s">
        <v>157</v>
      </c>
      <c r="Q33" s="9">
        <v>20</v>
      </c>
      <c r="R33" s="9">
        <v>20</v>
      </c>
      <c r="S33" s="28" t="s">
        <v>158</v>
      </c>
      <c r="T33" s="28">
        <v>7.73</v>
      </c>
      <c r="U33" s="26" t="s">
        <v>170</v>
      </c>
      <c r="V33" s="9">
        <v>0.65</v>
      </c>
      <c r="W33" s="9">
        <v>12</v>
      </c>
      <c r="X33" s="9">
        <v>12</v>
      </c>
      <c r="Y33" s="9">
        <v>0.65</v>
      </c>
      <c r="Z33" s="15">
        <f t="shared" si="25"/>
        <v>1.1105489745328638</v>
      </c>
      <c r="AA33" s="15">
        <f t="shared" si="39"/>
        <v>1.9839819442676476</v>
      </c>
      <c r="AC33" s="16">
        <f t="shared" si="26"/>
        <v>0.90782053017818432</v>
      </c>
      <c r="AD33" s="26">
        <f t="shared" si="27"/>
        <v>1.1015393095414168</v>
      </c>
      <c r="AE33" s="51">
        <v>11</v>
      </c>
      <c r="AF33" s="85" t="str">
        <f t="shared" si="28"/>
        <v>NOEC</v>
      </c>
      <c r="AG33" s="9">
        <f t="shared" si="29"/>
        <v>1</v>
      </c>
      <c r="AH33" s="18">
        <f t="shared" si="30"/>
        <v>1.9839819442676476</v>
      </c>
      <c r="AI33" s="88" t="str">
        <f t="shared" si="31"/>
        <v>Chronic</v>
      </c>
      <c r="AJ33" s="9">
        <f t="shared" si="32"/>
        <v>1</v>
      </c>
      <c r="AK33" s="18">
        <f t="shared" si="33"/>
        <v>1.9839819442676476</v>
      </c>
      <c r="AL33" s="16"/>
      <c r="AM33" s="110" t="str">
        <f t="shared" si="34"/>
        <v>NOEC</v>
      </c>
      <c r="AN33" s="111" t="s">
        <v>356</v>
      </c>
      <c r="AO33" s="112" t="str">
        <f t="shared" si="35"/>
        <v>Chronic</v>
      </c>
      <c r="AP33" s="111" t="str">
        <f t="shared" si="40"/>
        <v>y</v>
      </c>
      <c r="AQ33" s="134" t="str">
        <f t="shared" si="36"/>
        <v>Length</v>
      </c>
      <c r="AR33" s="111" t="s">
        <v>475</v>
      </c>
      <c r="AS33" s="114">
        <f t="shared" si="37"/>
        <v>60</v>
      </c>
      <c r="AT33" s="111" t="s">
        <v>476</v>
      </c>
      <c r="AU33" s="111"/>
      <c r="AV33" s="152">
        <f t="shared" si="43"/>
        <v>1.9839819442676476</v>
      </c>
      <c r="AW33" s="140">
        <f>GEOMEAN(AV33)</f>
        <v>1.9839819442676476</v>
      </c>
      <c r="AX33" s="141">
        <f>MIN(AW33)</f>
        <v>1.9839819442676476</v>
      </c>
      <c r="AY33" s="142">
        <f>MIN(AX33:AX33)</f>
        <v>1.9839819442676476</v>
      </c>
    </row>
    <row r="34" spans="1:52" x14ac:dyDescent="0.2">
      <c r="A34" s="32" t="s">
        <v>176</v>
      </c>
      <c r="B34" s="33">
        <v>254</v>
      </c>
      <c r="C34" s="34" t="s">
        <v>24</v>
      </c>
      <c r="D34" s="35" t="s">
        <v>172</v>
      </c>
      <c r="E34" s="33" t="s">
        <v>121</v>
      </c>
      <c r="F34" s="33" t="s">
        <v>127</v>
      </c>
      <c r="G34" s="33" t="s">
        <v>52</v>
      </c>
      <c r="H34" s="33" t="s">
        <v>571</v>
      </c>
      <c r="I34" s="36" t="s">
        <v>128</v>
      </c>
      <c r="J34" s="36" t="s">
        <v>177</v>
      </c>
      <c r="K34" s="36" t="s">
        <v>137</v>
      </c>
      <c r="L34" s="36" t="s">
        <v>133</v>
      </c>
      <c r="M34" s="36">
        <v>28</v>
      </c>
      <c r="N34" s="33" t="s">
        <v>55</v>
      </c>
      <c r="O34" s="37" t="s">
        <v>33</v>
      </c>
      <c r="P34" s="38" t="s">
        <v>129</v>
      </c>
      <c r="Q34" s="33" t="s">
        <v>130</v>
      </c>
      <c r="R34" s="33">
        <v>20</v>
      </c>
      <c r="S34" s="33" t="s">
        <v>131</v>
      </c>
      <c r="T34" s="33">
        <v>8.1999999999999993</v>
      </c>
      <c r="U34" s="33">
        <v>5.9020000000000001</v>
      </c>
      <c r="V34" s="33" t="s">
        <v>175</v>
      </c>
      <c r="W34" s="33" t="s">
        <v>37</v>
      </c>
      <c r="X34" s="33">
        <v>23.6</v>
      </c>
      <c r="Y34" s="33">
        <v>0.4</v>
      </c>
      <c r="Z34" s="40">
        <f t="shared" si="25"/>
        <v>1.3183308357445855</v>
      </c>
      <c r="AA34" s="40">
        <f t="shared" si="39"/>
        <v>2.3551816576020217</v>
      </c>
      <c r="AB34" t="s">
        <v>577</v>
      </c>
      <c r="AC34" s="16">
        <f t="shared" si="26"/>
        <v>0.30760968147407108</v>
      </c>
      <c r="AD34" s="26">
        <f t="shared" si="27"/>
        <v>3.2508729738543409</v>
      </c>
      <c r="AE34" s="51">
        <v>11</v>
      </c>
      <c r="AF34" s="85" t="str">
        <f t="shared" si="28"/>
        <v>IC10</v>
      </c>
      <c r="AG34" s="9">
        <f t="shared" si="29"/>
        <v>1</v>
      </c>
      <c r="AH34" s="18">
        <f t="shared" si="30"/>
        <v>2.3551816576020217</v>
      </c>
      <c r="AI34" s="88" t="str">
        <f t="shared" si="31"/>
        <v>Chronic</v>
      </c>
      <c r="AJ34" s="9">
        <f t="shared" si="32"/>
        <v>1</v>
      </c>
      <c r="AK34" s="18">
        <f t="shared" si="33"/>
        <v>2.3551816576020217</v>
      </c>
      <c r="AL34" s="16"/>
      <c r="AM34" s="110" t="str">
        <f t="shared" si="34"/>
        <v>IC10</v>
      </c>
      <c r="AN34" s="111" t="s">
        <v>356</v>
      </c>
      <c r="AO34" s="112" t="str">
        <f t="shared" si="35"/>
        <v>Chronic</v>
      </c>
      <c r="AP34" s="111" t="str">
        <f t="shared" si="40"/>
        <v>y</v>
      </c>
      <c r="AQ34" s="134" t="str">
        <f t="shared" si="36"/>
        <v>Shell length</v>
      </c>
      <c r="AR34" s="111" t="s">
        <v>473</v>
      </c>
      <c r="AS34" s="114">
        <f t="shared" si="37"/>
        <v>28</v>
      </c>
      <c r="AT34" s="111" t="s">
        <v>474</v>
      </c>
      <c r="AU34" s="111"/>
      <c r="AV34" s="152">
        <f>AK34</f>
        <v>2.3551816576020217</v>
      </c>
      <c r="AW34" s="140">
        <f>GEOMEAN(AV34)</f>
        <v>2.3551816576020217</v>
      </c>
      <c r="AX34" s="141">
        <f>MIN(AW34)</f>
        <v>2.3551816576020217</v>
      </c>
      <c r="AY34" s="142">
        <f>MIN(AX34:AX34)</f>
        <v>2.3551816576020217</v>
      </c>
    </row>
    <row r="35" spans="1:52" x14ac:dyDescent="0.2">
      <c r="A35" s="193" t="s">
        <v>595</v>
      </c>
      <c r="AF35" s="68"/>
      <c r="AG35" s="9"/>
      <c r="AH35" s="18"/>
      <c r="AI35" s="67"/>
      <c r="AJ35" s="9"/>
      <c r="AK35" s="18"/>
      <c r="AL35" s="16"/>
      <c r="AM35" s="68"/>
      <c r="AN35" s="67"/>
      <c r="AO35" s="67"/>
      <c r="AP35" s="67"/>
      <c r="AQ35" s="76"/>
      <c r="AR35" s="67"/>
      <c r="AS35" s="70"/>
      <c r="AT35" s="67"/>
      <c r="AU35" s="67"/>
      <c r="AV35" s="82"/>
      <c r="AW35" s="72"/>
      <c r="AX35" s="73"/>
      <c r="AY35" s="206"/>
    </row>
    <row r="36" spans="1:52" x14ac:dyDescent="0.2">
      <c r="A36" s="32" t="s">
        <v>48</v>
      </c>
      <c r="B36" s="33">
        <v>236</v>
      </c>
      <c r="C36" s="34" t="s">
        <v>24</v>
      </c>
      <c r="D36" s="35" t="s">
        <v>49</v>
      </c>
      <c r="E36" s="33" t="s">
        <v>50</v>
      </c>
      <c r="F36" s="33" t="s">
        <v>51</v>
      </c>
      <c r="G36" s="33" t="s">
        <v>52</v>
      </c>
      <c r="H36" s="33" t="s">
        <v>571</v>
      </c>
      <c r="I36" s="36" t="s">
        <v>37</v>
      </c>
      <c r="J36" s="36" t="s">
        <v>53</v>
      </c>
      <c r="K36" s="36" t="s">
        <v>53</v>
      </c>
      <c r="L36" s="36" t="s">
        <v>54</v>
      </c>
      <c r="M36" s="36">
        <v>30</v>
      </c>
      <c r="N36" s="33" t="s">
        <v>55</v>
      </c>
      <c r="O36" s="37" t="s">
        <v>33</v>
      </c>
      <c r="P36" s="38" t="s">
        <v>56</v>
      </c>
      <c r="Q36" s="33" t="s">
        <v>57</v>
      </c>
      <c r="R36" s="40">
        <v>15.1</v>
      </c>
      <c r="S36" s="33" t="s">
        <v>58</v>
      </c>
      <c r="T36" s="33">
        <v>8.11</v>
      </c>
      <c r="U36" s="33">
        <v>3.42</v>
      </c>
      <c r="V36" s="33" t="s">
        <v>37</v>
      </c>
      <c r="W36" s="33">
        <v>20</v>
      </c>
      <c r="X36" s="40">
        <v>20</v>
      </c>
      <c r="Y36" s="40">
        <f t="shared" ref="Y36:Y40" si="45">X36/((U36/100)*1000)</f>
        <v>0.58479532163742687</v>
      </c>
      <c r="Z36" s="40">
        <f t="shared" ref="Z36:Z49" si="46">Y36/((0.0278/(1+AC36))+(1.1994/(1+AD36)))</f>
        <v>1.6734482467670493</v>
      </c>
      <c r="AA36" s="40">
        <f>POWER(10,LOG(Z36)-(-0.028*(R36-AE36)))</f>
        <v>2.0436771343619582</v>
      </c>
      <c r="AC36" s="16">
        <f t="shared" ref="AC36:AC49" si="47">POWER(10,7.688-T36)</f>
        <v>0.37844258471709358</v>
      </c>
      <c r="AD36" s="26">
        <f t="shared" ref="AD36:AD49" si="48">POWER(10,T36-7.688)</f>
        <v>2.6424087573219448</v>
      </c>
      <c r="AE36" s="51">
        <v>12</v>
      </c>
      <c r="AF36" s="85" t="str">
        <f t="shared" ref="AF36:AF49" si="49">L36</f>
        <v>NOEC</v>
      </c>
      <c r="AG36" s="9">
        <f t="shared" ref="AG36:AG49" si="50">VLOOKUP(AF36,$BD$6:$BE$17,2,FALSE)</f>
        <v>1</v>
      </c>
      <c r="AH36" s="18">
        <f t="shared" ref="AH36:AH49" si="51">AA36/AG36</f>
        <v>2.0436771343619582</v>
      </c>
      <c r="AI36" s="88" t="str">
        <f t="shared" ref="AI36:AI49" si="52">O36</f>
        <v>Chronic</v>
      </c>
      <c r="AJ36" s="9">
        <f t="shared" ref="AJ36:AJ49" si="53">VLOOKUP(AI36,$BD$19:$BF$20,2,FALSE)</f>
        <v>1</v>
      </c>
      <c r="AK36" s="18">
        <f t="shared" ref="AK36:AK49" si="54">AH36/AJ36</f>
        <v>2.0436771343619582</v>
      </c>
      <c r="AL36" s="16"/>
      <c r="AM36" s="127" t="str">
        <f t="shared" ref="AM36:AM49" si="55">L36</f>
        <v>NOEC</v>
      </c>
      <c r="AN36" s="128" t="s">
        <v>356</v>
      </c>
      <c r="AO36" s="129" t="str">
        <f t="shared" ref="AO36:AO49" si="56">O36</f>
        <v>Chronic</v>
      </c>
      <c r="AP36" s="128" t="str">
        <f>IF(AO36="chronic","y","n")</f>
        <v>y</v>
      </c>
      <c r="AQ36" s="130" t="str">
        <f t="shared" ref="AQ36:AQ49" si="57">K36</f>
        <v>Mortality</v>
      </c>
      <c r="AR36" s="128" t="s">
        <v>459</v>
      </c>
      <c r="AS36" s="131">
        <f t="shared" ref="AS36:AS49" si="58">M36</f>
        <v>30</v>
      </c>
      <c r="AT36" s="128" t="s">
        <v>460</v>
      </c>
      <c r="AU36" s="128"/>
      <c r="AV36" s="189">
        <f t="shared" ref="AV36:AV42" si="59">AK36</f>
        <v>2.0436771343619582</v>
      </c>
      <c r="AW36" s="144">
        <f>GEOMEAN(AV36)</f>
        <v>2.0436771343619582</v>
      </c>
      <c r="AX36" s="148">
        <f>MIN(AW36)</f>
        <v>2.0436771343619582</v>
      </c>
      <c r="AY36" s="149">
        <f>MIN(AX36)</f>
        <v>2.0436771343619582</v>
      </c>
      <c r="AZ36" s="206" t="str">
        <f>A35</f>
        <v>12°C</v>
      </c>
    </row>
    <row r="37" spans="1:52" x14ac:dyDescent="0.2">
      <c r="A37" s="19" t="s">
        <v>59</v>
      </c>
      <c r="B37" s="9">
        <v>245</v>
      </c>
      <c r="C37" s="10" t="s">
        <v>24</v>
      </c>
      <c r="D37" s="11" t="s">
        <v>60</v>
      </c>
      <c r="E37" s="20" t="s">
        <v>61</v>
      </c>
      <c r="F37" s="9" t="s">
        <v>62</v>
      </c>
      <c r="G37" s="9" t="s">
        <v>52</v>
      </c>
      <c r="H37" s="9" t="s">
        <v>571</v>
      </c>
      <c r="I37" s="12" t="s">
        <v>63</v>
      </c>
      <c r="J37" s="12" t="s">
        <v>64</v>
      </c>
      <c r="K37" s="12" t="s">
        <v>64</v>
      </c>
      <c r="L37" s="12" t="s">
        <v>54</v>
      </c>
      <c r="M37" s="12">
        <v>7</v>
      </c>
      <c r="N37" s="9" t="s">
        <v>55</v>
      </c>
      <c r="O37" s="21" t="s">
        <v>33</v>
      </c>
      <c r="P37" s="14" t="s">
        <v>65</v>
      </c>
      <c r="Q37" s="9">
        <v>25</v>
      </c>
      <c r="R37" s="9">
        <v>25</v>
      </c>
      <c r="S37" s="22">
        <v>8</v>
      </c>
      <c r="T37" s="22">
        <v>8</v>
      </c>
      <c r="U37" s="20">
        <v>5.3659999999999997</v>
      </c>
      <c r="V37" s="20" t="s">
        <v>37</v>
      </c>
      <c r="W37" s="20">
        <v>680</v>
      </c>
      <c r="X37" s="9">
        <v>680</v>
      </c>
      <c r="Y37" s="27">
        <f t="shared" si="45"/>
        <v>12.672381662318301</v>
      </c>
      <c r="Z37" s="15">
        <f t="shared" si="46"/>
        <v>30.774279778328605</v>
      </c>
      <c r="AA37" s="15">
        <f t="shared" ref="AA37:AA49" si="60">POWER(10,LOG(Z37)-(-0.028*(R37-AE37)))</f>
        <v>71.152128718486338</v>
      </c>
      <c r="AC37" s="16">
        <f t="shared" si="47"/>
        <v>0.48752849010338595</v>
      </c>
      <c r="AD37" s="26">
        <f t="shared" si="48"/>
        <v>2.051162178825567</v>
      </c>
      <c r="AE37" s="51">
        <v>12</v>
      </c>
      <c r="AF37" s="85" t="str">
        <f t="shared" si="49"/>
        <v>NOEC</v>
      </c>
      <c r="AG37" s="9">
        <f t="shared" si="50"/>
        <v>1</v>
      </c>
      <c r="AH37" s="18">
        <f t="shared" si="51"/>
        <v>71.152128718486338</v>
      </c>
      <c r="AI37" s="88" t="str">
        <f t="shared" si="52"/>
        <v>Chronic</v>
      </c>
      <c r="AJ37" s="9">
        <f t="shared" si="53"/>
        <v>1</v>
      </c>
      <c r="AK37" s="18">
        <f t="shared" si="54"/>
        <v>71.152128718486338</v>
      </c>
      <c r="AL37" s="16"/>
      <c r="AM37" s="101" t="str">
        <f t="shared" si="55"/>
        <v>NOEC</v>
      </c>
      <c r="AN37" s="102" t="s">
        <v>356</v>
      </c>
      <c r="AO37" s="103" t="str">
        <f t="shared" si="56"/>
        <v>Chronic</v>
      </c>
      <c r="AP37" s="102" t="str">
        <f t="shared" ref="AP37:AP49" si="61">IF(AO37="chronic","y","n")</f>
        <v>y</v>
      </c>
      <c r="AQ37" s="104" t="str">
        <f t="shared" si="57"/>
        <v>Reproduction</v>
      </c>
      <c r="AR37" s="102" t="s">
        <v>459</v>
      </c>
      <c r="AS37" s="105">
        <f t="shared" si="58"/>
        <v>7</v>
      </c>
      <c r="AT37" s="102" t="s">
        <v>460</v>
      </c>
      <c r="AU37" s="102"/>
      <c r="AV37" s="106">
        <f t="shared" si="59"/>
        <v>71.152128718486338</v>
      </c>
      <c r="AW37" s="107">
        <f>GEOMEAN(AV37:AV37)</f>
        <v>71.152128718486338</v>
      </c>
      <c r="AX37" s="108">
        <f>MIN(AW37:AW37)</f>
        <v>71.152128718486338</v>
      </c>
      <c r="AY37" s="109">
        <f>MIN(AX37)</f>
        <v>71.152128718486338</v>
      </c>
    </row>
    <row r="38" spans="1:52" x14ac:dyDescent="0.2">
      <c r="A38" s="32" t="s">
        <v>82</v>
      </c>
      <c r="B38" s="33">
        <v>240</v>
      </c>
      <c r="C38" s="34" t="s">
        <v>24</v>
      </c>
      <c r="D38" s="35" t="s">
        <v>77</v>
      </c>
      <c r="E38" s="33" t="s">
        <v>61</v>
      </c>
      <c r="F38" s="33" t="s">
        <v>62</v>
      </c>
      <c r="G38" s="33" t="s">
        <v>52</v>
      </c>
      <c r="H38" s="33" t="s">
        <v>571</v>
      </c>
      <c r="I38" s="36" t="s">
        <v>78</v>
      </c>
      <c r="J38" s="36" t="s">
        <v>83</v>
      </c>
      <c r="K38" s="36" t="s">
        <v>84</v>
      </c>
      <c r="L38" s="36" t="s">
        <v>54</v>
      </c>
      <c r="M38" s="36">
        <v>21</v>
      </c>
      <c r="N38" s="33" t="s">
        <v>55</v>
      </c>
      <c r="O38" s="37" t="s">
        <v>33</v>
      </c>
      <c r="P38" s="38" t="s">
        <v>79</v>
      </c>
      <c r="Q38" s="33" t="s">
        <v>80</v>
      </c>
      <c r="R38" s="40">
        <v>19.8</v>
      </c>
      <c r="S38" s="33" t="s">
        <v>81</v>
      </c>
      <c r="T38" s="33">
        <v>8.4499999999999993</v>
      </c>
      <c r="U38" s="33">
        <v>9.9039999999999999</v>
      </c>
      <c r="V38" s="44" t="s">
        <v>37</v>
      </c>
      <c r="W38" s="44" t="s">
        <v>37</v>
      </c>
      <c r="X38" s="33">
        <v>420</v>
      </c>
      <c r="Y38" s="40">
        <f t="shared" si="45"/>
        <v>4.2407108239095308</v>
      </c>
      <c r="Z38" s="40">
        <f t="shared" si="46"/>
        <v>21.142464693435951</v>
      </c>
      <c r="AA38" s="40">
        <f t="shared" si="60"/>
        <v>34.958727348489404</v>
      </c>
      <c r="AC38" s="16">
        <f t="shared" si="47"/>
        <v>0.17298163592151028</v>
      </c>
      <c r="AD38" s="26">
        <f t="shared" si="48"/>
        <v>5.7809604740571769</v>
      </c>
      <c r="AE38" s="51">
        <v>12</v>
      </c>
      <c r="AF38" s="85" t="str">
        <f t="shared" si="49"/>
        <v>NOEC</v>
      </c>
      <c r="AG38" s="9">
        <f t="shared" si="50"/>
        <v>1</v>
      </c>
      <c r="AH38" s="18">
        <f t="shared" si="51"/>
        <v>34.958727348489404</v>
      </c>
      <c r="AI38" s="88" t="str">
        <f t="shared" si="52"/>
        <v>Chronic</v>
      </c>
      <c r="AJ38" s="9">
        <f t="shared" si="53"/>
        <v>1</v>
      </c>
      <c r="AK38" s="18">
        <f t="shared" si="54"/>
        <v>34.958727348489404</v>
      </c>
      <c r="AL38" s="16"/>
      <c r="AM38" s="101" t="str">
        <f t="shared" si="55"/>
        <v>NOEC</v>
      </c>
      <c r="AN38" s="102" t="s">
        <v>356</v>
      </c>
      <c r="AO38" s="103" t="str">
        <f t="shared" si="56"/>
        <v>Chronic</v>
      </c>
      <c r="AP38" s="102" t="str">
        <f t="shared" si="61"/>
        <v>y</v>
      </c>
      <c r="AQ38" s="104" t="str">
        <f t="shared" si="57"/>
        <v>Mean total young/daphnid</v>
      </c>
      <c r="AR38" s="102" t="s">
        <v>459</v>
      </c>
      <c r="AS38" s="105">
        <f t="shared" si="58"/>
        <v>21</v>
      </c>
      <c r="AT38" s="102" t="s">
        <v>460</v>
      </c>
      <c r="AU38" s="102"/>
      <c r="AV38" s="147">
        <f t="shared" si="59"/>
        <v>34.958727348489404</v>
      </c>
      <c r="AW38" s="107">
        <f>GEOMEAN(AV38:AV38)</f>
        <v>34.958727348489404</v>
      </c>
      <c r="AX38" s="108">
        <f>MIN(AW38)</f>
        <v>34.958727348489404</v>
      </c>
      <c r="AY38" s="109"/>
    </row>
    <row r="39" spans="1:52" x14ac:dyDescent="0.2">
      <c r="A39" s="32" t="s">
        <v>87</v>
      </c>
      <c r="B39" s="33">
        <v>240</v>
      </c>
      <c r="C39" s="34" t="s">
        <v>24</v>
      </c>
      <c r="D39" s="35" t="s">
        <v>77</v>
      </c>
      <c r="E39" s="33" t="s">
        <v>61</v>
      </c>
      <c r="F39" s="33" t="s">
        <v>62</v>
      </c>
      <c r="G39" s="33" t="s">
        <v>52</v>
      </c>
      <c r="H39" s="33" t="s">
        <v>571</v>
      </c>
      <c r="I39" s="36" t="s">
        <v>78</v>
      </c>
      <c r="J39" s="36" t="s">
        <v>83</v>
      </c>
      <c r="K39" s="36" t="s">
        <v>88</v>
      </c>
      <c r="L39" s="36" t="s">
        <v>54</v>
      </c>
      <c r="M39" s="36">
        <v>21</v>
      </c>
      <c r="N39" s="33" t="s">
        <v>55</v>
      </c>
      <c r="O39" s="37" t="s">
        <v>33</v>
      </c>
      <c r="P39" s="38" t="s">
        <v>79</v>
      </c>
      <c r="Q39" s="33" t="s">
        <v>80</v>
      </c>
      <c r="R39" s="40">
        <v>19.8</v>
      </c>
      <c r="S39" s="33" t="s">
        <v>81</v>
      </c>
      <c r="T39" s="33">
        <v>8.4499999999999993</v>
      </c>
      <c r="U39" s="33">
        <v>9.9039999999999999</v>
      </c>
      <c r="V39" s="44" t="s">
        <v>37</v>
      </c>
      <c r="W39" s="44" t="s">
        <v>37</v>
      </c>
      <c r="X39" s="33">
        <v>420</v>
      </c>
      <c r="Y39" s="40">
        <f t="shared" si="45"/>
        <v>4.2407108239095308</v>
      </c>
      <c r="Z39" s="40">
        <f t="shared" si="46"/>
        <v>21.142464693435951</v>
      </c>
      <c r="AA39" s="40">
        <f t="shared" si="60"/>
        <v>34.958727348489404</v>
      </c>
      <c r="AC39" s="16">
        <f t="shared" si="47"/>
        <v>0.17298163592151028</v>
      </c>
      <c r="AD39" s="26">
        <f t="shared" si="48"/>
        <v>5.7809604740571769</v>
      </c>
      <c r="AE39" s="51">
        <v>12</v>
      </c>
      <c r="AF39" s="85" t="str">
        <f t="shared" si="49"/>
        <v>NOEC</v>
      </c>
      <c r="AG39" s="9">
        <f t="shared" si="50"/>
        <v>1</v>
      </c>
      <c r="AH39" s="18">
        <f t="shared" si="51"/>
        <v>34.958727348489404</v>
      </c>
      <c r="AI39" s="88" t="str">
        <f t="shared" si="52"/>
        <v>Chronic</v>
      </c>
      <c r="AJ39" s="9">
        <f t="shared" si="53"/>
        <v>1</v>
      </c>
      <c r="AK39" s="18">
        <f t="shared" si="54"/>
        <v>34.958727348489404</v>
      </c>
      <c r="AL39" s="16"/>
      <c r="AM39" s="132" t="str">
        <f t="shared" si="55"/>
        <v>NOEC</v>
      </c>
      <c r="AN39" s="67" t="s">
        <v>356</v>
      </c>
      <c r="AO39" s="88" t="str">
        <f t="shared" si="56"/>
        <v>Chronic</v>
      </c>
      <c r="AP39" s="67" t="str">
        <f t="shared" si="61"/>
        <v>y</v>
      </c>
      <c r="AQ39" s="69" t="str">
        <f t="shared" si="57"/>
        <v>Mean brood size/daphnid</v>
      </c>
      <c r="AR39" s="67" t="s">
        <v>475</v>
      </c>
      <c r="AS39" s="70">
        <f t="shared" si="58"/>
        <v>21</v>
      </c>
      <c r="AT39" s="67" t="s">
        <v>476</v>
      </c>
      <c r="AU39" s="67"/>
      <c r="AV39" s="82">
        <f t="shared" si="59"/>
        <v>34.958727348489404</v>
      </c>
      <c r="AW39" s="81">
        <f>GEOMEAN(AV39:AV39)</f>
        <v>34.958727348489404</v>
      </c>
      <c r="AX39" s="78">
        <f>MIN(AW39)</f>
        <v>34.958727348489404</v>
      </c>
      <c r="AY39" s="133"/>
    </row>
    <row r="40" spans="1:52" x14ac:dyDescent="0.2">
      <c r="A40" s="32" t="s">
        <v>89</v>
      </c>
      <c r="B40" s="33">
        <v>240</v>
      </c>
      <c r="C40" s="34" t="s">
        <v>24</v>
      </c>
      <c r="D40" s="35" t="s">
        <v>77</v>
      </c>
      <c r="E40" s="33" t="s">
        <v>61</v>
      </c>
      <c r="F40" s="33" t="s">
        <v>62</v>
      </c>
      <c r="G40" s="33" t="s">
        <v>52</v>
      </c>
      <c r="H40" s="33" t="s">
        <v>571</v>
      </c>
      <c r="I40" s="36" t="s">
        <v>78</v>
      </c>
      <c r="J40" s="36" t="s">
        <v>53</v>
      </c>
      <c r="K40" s="36" t="s">
        <v>53</v>
      </c>
      <c r="L40" s="36" t="s">
        <v>54</v>
      </c>
      <c r="M40" s="36">
        <v>21</v>
      </c>
      <c r="N40" s="33" t="s">
        <v>55</v>
      </c>
      <c r="O40" s="37" t="s">
        <v>33</v>
      </c>
      <c r="P40" s="38" t="s">
        <v>79</v>
      </c>
      <c r="Q40" s="33" t="s">
        <v>80</v>
      </c>
      <c r="R40" s="40">
        <v>19.8</v>
      </c>
      <c r="S40" s="33" t="s">
        <v>81</v>
      </c>
      <c r="T40" s="33">
        <v>8.4499999999999993</v>
      </c>
      <c r="U40" s="33">
        <v>9.9039999999999999</v>
      </c>
      <c r="V40" s="44" t="s">
        <v>37</v>
      </c>
      <c r="W40" s="44" t="s">
        <v>37</v>
      </c>
      <c r="X40" s="33">
        <v>420</v>
      </c>
      <c r="Y40" s="40">
        <f t="shared" si="45"/>
        <v>4.2407108239095308</v>
      </c>
      <c r="Z40" s="40">
        <f t="shared" si="46"/>
        <v>21.142464693435951</v>
      </c>
      <c r="AA40" s="40">
        <f t="shared" si="60"/>
        <v>34.958727348489404</v>
      </c>
      <c r="AC40" s="16">
        <f t="shared" si="47"/>
        <v>0.17298163592151028</v>
      </c>
      <c r="AD40" s="26">
        <f t="shared" si="48"/>
        <v>5.7809604740571769</v>
      </c>
      <c r="AE40" s="51">
        <v>12</v>
      </c>
      <c r="AF40" s="85" t="str">
        <f t="shared" si="49"/>
        <v>NOEC</v>
      </c>
      <c r="AG40" s="9">
        <f t="shared" si="50"/>
        <v>1</v>
      </c>
      <c r="AH40" s="18">
        <f t="shared" si="51"/>
        <v>34.958727348489404</v>
      </c>
      <c r="AI40" s="88" t="str">
        <f t="shared" si="52"/>
        <v>Chronic</v>
      </c>
      <c r="AJ40" s="9">
        <f t="shared" si="53"/>
        <v>1</v>
      </c>
      <c r="AK40" s="18">
        <f t="shared" si="54"/>
        <v>34.958727348489404</v>
      </c>
      <c r="AL40" s="16"/>
      <c r="AM40" s="110" t="str">
        <f t="shared" si="55"/>
        <v>NOEC</v>
      </c>
      <c r="AN40" s="111" t="s">
        <v>356</v>
      </c>
      <c r="AO40" s="112" t="str">
        <f t="shared" si="56"/>
        <v>Chronic</v>
      </c>
      <c r="AP40" s="111" t="str">
        <f t="shared" si="61"/>
        <v>y</v>
      </c>
      <c r="AQ40" s="134" t="str">
        <f t="shared" si="57"/>
        <v>Mortality</v>
      </c>
      <c r="AR40" s="111" t="s">
        <v>55</v>
      </c>
      <c r="AS40" s="114">
        <f t="shared" si="58"/>
        <v>21</v>
      </c>
      <c r="AT40" s="111" t="s">
        <v>477</v>
      </c>
      <c r="AU40" s="111"/>
      <c r="AV40" s="138">
        <f t="shared" si="59"/>
        <v>34.958727348489404</v>
      </c>
      <c r="AW40" s="135">
        <f>GEOMEAN(AV40:AV40)</f>
        <v>34.958727348489404</v>
      </c>
      <c r="AX40" s="136">
        <f>MIN(AW40)</f>
        <v>34.958727348489404</v>
      </c>
      <c r="AY40" s="137">
        <f>MIN(AX38:AX40)</f>
        <v>34.958727348489404</v>
      </c>
    </row>
    <row r="41" spans="1:52" x14ac:dyDescent="0.2">
      <c r="A41" s="19" t="s">
        <v>90</v>
      </c>
      <c r="B41" s="23">
        <v>231</v>
      </c>
      <c r="C41" s="10" t="s">
        <v>24</v>
      </c>
      <c r="D41" s="11" t="s">
        <v>91</v>
      </c>
      <c r="E41" s="9" t="s">
        <v>61</v>
      </c>
      <c r="F41" s="9" t="s">
        <v>92</v>
      </c>
      <c r="G41" s="9" t="s">
        <v>93</v>
      </c>
      <c r="H41" s="9" t="s">
        <v>571</v>
      </c>
      <c r="I41" s="9" t="s">
        <v>94</v>
      </c>
      <c r="J41" s="12" t="s">
        <v>53</v>
      </c>
      <c r="K41" s="12" t="s">
        <v>95</v>
      </c>
      <c r="L41" s="12" t="s">
        <v>54</v>
      </c>
      <c r="M41" s="9">
        <v>29</v>
      </c>
      <c r="N41" s="9" t="s">
        <v>55</v>
      </c>
      <c r="O41" s="9" t="s">
        <v>33</v>
      </c>
      <c r="P41" s="14" t="s">
        <v>96</v>
      </c>
      <c r="Q41" s="23">
        <v>15.8</v>
      </c>
      <c r="R41" s="94">
        <v>15.8</v>
      </c>
      <c r="S41" s="9">
        <v>8.3699999999999992</v>
      </c>
      <c r="T41" s="9">
        <v>8.3699999999999992</v>
      </c>
      <c r="U41" s="9">
        <v>6.3609999999999998</v>
      </c>
      <c r="V41" s="9">
        <v>0.94899999999999995</v>
      </c>
      <c r="W41" s="9">
        <v>66</v>
      </c>
      <c r="X41" s="9">
        <v>66</v>
      </c>
      <c r="Y41" s="9">
        <v>0.94899999999999995</v>
      </c>
      <c r="Z41" s="15">
        <f t="shared" si="46"/>
        <v>4.1349303568432507</v>
      </c>
      <c r="AA41" s="15">
        <f t="shared" si="60"/>
        <v>5.282849022927949</v>
      </c>
      <c r="AC41" s="16">
        <f t="shared" si="47"/>
        <v>0.20796966871036979</v>
      </c>
      <c r="AD41" s="26">
        <f t="shared" si="48"/>
        <v>4.8083934844972802</v>
      </c>
      <c r="AE41" s="51">
        <v>12</v>
      </c>
      <c r="AF41" s="85" t="str">
        <f t="shared" si="49"/>
        <v>NOEC</v>
      </c>
      <c r="AG41" s="9">
        <f t="shared" si="50"/>
        <v>1</v>
      </c>
      <c r="AH41" s="18">
        <f t="shared" si="51"/>
        <v>5.282849022927949</v>
      </c>
      <c r="AI41" s="88" t="str">
        <f t="shared" si="52"/>
        <v>Chronic</v>
      </c>
      <c r="AJ41" s="9">
        <f t="shared" si="53"/>
        <v>1</v>
      </c>
      <c r="AK41" s="18">
        <f t="shared" si="54"/>
        <v>5.282849022927949</v>
      </c>
      <c r="AL41" s="16"/>
      <c r="AM41" s="127" t="str">
        <f t="shared" si="55"/>
        <v>NOEC</v>
      </c>
      <c r="AN41" s="128" t="s">
        <v>356</v>
      </c>
      <c r="AO41" s="129" t="str">
        <f t="shared" si="56"/>
        <v>Chronic</v>
      </c>
      <c r="AP41" s="128" t="str">
        <f t="shared" si="61"/>
        <v>y</v>
      </c>
      <c r="AQ41" s="130" t="str">
        <f t="shared" si="57"/>
        <v>Mortality (of juvenile Deleatidium sp.)</v>
      </c>
      <c r="AR41" s="128" t="s">
        <v>459</v>
      </c>
      <c r="AS41" s="131">
        <f t="shared" si="58"/>
        <v>29</v>
      </c>
      <c r="AT41" s="128" t="s">
        <v>460</v>
      </c>
      <c r="AU41" s="128"/>
      <c r="AV41" s="143">
        <f t="shared" si="59"/>
        <v>5.282849022927949</v>
      </c>
      <c r="AW41" s="144">
        <f t="shared" ref="AW41:AW42" si="62">GEOMEAN(AV41:AV41)</f>
        <v>5.282849022927949</v>
      </c>
      <c r="AX41" s="141">
        <f>MIN(AW41)</f>
        <v>5.282849022927949</v>
      </c>
      <c r="AY41" s="142">
        <f>MIN(AX41:AX41)</f>
        <v>5.282849022927949</v>
      </c>
    </row>
    <row r="42" spans="1:52" x14ac:dyDescent="0.2">
      <c r="A42" s="32" t="s">
        <v>97</v>
      </c>
      <c r="B42" s="44">
        <v>221</v>
      </c>
      <c r="C42" s="34" t="s">
        <v>24</v>
      </c>
      <c r="D42" s="35" t="s">
        <v>98</v>
      </c>
      <c r="E42" s="33" t="s">
        <v>61</v>
      </c>
      <c r="F42" s="33" t="s">
        <v>99</v>
      </c>
      <c r="G42" s="33" t="s">
        <v>93</v>
      </c>
      <c r="H42" s="33" t="s">
        <v>571</v>
      </c>
      <c r="I42" s="36" t="s">
        <v>100</v>
      </c>
      <c r="J42" s="36" t="s">
        <v>64</v>
      </c>
      <c r="K42" s="44" t="s">
        <v>101</v>
      </c>
      <c r="L42" s="36" t="s">
        <v>54</v>
      </c>
      <c r="M42" s="36">
        <v>10</v>
      </c>
      <c r="N42" s="33" t="s">
        <v>102</v>
      </c>
      <c r="O42" s="33" t="s">
        <v>33</v>
      </c>
      <c r="P42" s="45" t="s">
        <v>103</v>
      </c>
      <c r="Q42" s="44">
        <v>25</v>
      </c>
      <c r="R42" s="44">
        <v>25</v>
      </c>
      <c r="S42" s="33" t="s">
        <v>104</v>
      </c>
      <c r="T42" s="33">
        <v>8.0399999999999991</v>
      </c>
      <c r="U42" s="46">
        <v>5.8536524151080886</v>
      </c>
      <c r="V42" s="33">
        <v>2.5</v>
      </c>
      <c r="W42" s="33" t="s">
        <v>37</v>
      </c>
      <c r="X42" s="39">
        <f t="shared" ref="X42" si="63">(V42)*(U42/100)*1000</f>
        <v>146.3413103777022</v>
      </c>
      <c r="Y42" s="33">
        <v>2.5</v>
      </c>
      <c r="Z42" s="40">
        <f t="shared" si="46"/>
        <v>6.4367096033276967</v>
      </c>
      <c r="AA42" s="40">
        <f t="shared" si="60"/>
        <v>14.882089638439089</v>
      </c>
      <c r="AC42" s="16">
        <f t="shared" si="47"/>
        <v>0.4446312674691093</v>
      </c>
      <c r="AD42" s="26">
        <f t="shared" si="48"/>
        <v>2.2490546058357781</v>
      </c>
      <c r="AE42" s="51">
        <v>12</v>
      </c>
      <c r="AF42" s="85" t="str">
        <f t="shared" si="49"/>
        <v>NOEC</v>
      </c>
      <c r="AG42" s="9">
        <f t="shared" si="50"/>
        <v>1</v>
      </c>
      <c r="AH42" s="18">
        <f t="shared" si="51"/>
        <v>14.882089638439089</v>
      </c>
      <c r="AI42" s="88" t="str">
        <f t="shared" si="52"/>
        <v>Chronic</v>
      </c>
      <c r="AJ42" s="9">
        <f t="shared" si="53"/>
        <v>1</v>
      </c>
      <c r="AK42" s="18">
        <f t="shared" si="54"/>
        <v>14.882089638439089</v>
      </c>
      <c r="AL42" s="16"/>
      <c r="AM42" s="101" t="str">
        <f t="shared" si="55"/>
        <v>NOEC</v>
      </c>
      <c r="AN42" s="102" t="s">
        <v>356</v>
      </c>
      <c r="AO42" s="103" t="str">
        <f t="shared" si="56"/>
        <v>Chronic</v>
      </c>
      <c r="AP42" s="102" t="str">
        <f t="shared" si="61"/>
        <v>y</v>
      </c>
      <c r="AQ42" s="104" t="str">
        <f t="shared" si="57"/>
        <v>Reproduction (average young per replicate)</v>
      </c>
      <c r="AR42" s="102" t="s">
        <v>459</v>
      </c>
      <c r="AS42" s="105">
        <f t="shared" si="58"/>
        <v>10</v>
      </c>
      <c r="AT42" s="102" t="s">
        <v>460</v>
      </c>
      <c r="AU42" s="102"/>
      <c r="AV42" s="106">
        <f t="shared" si="59"/>
        <v>14.882089638439089</v>
      </c>
      <c r="AW42" s="107">
        <f t="shared" si="62"/>
        <v>14.882089638439089</v>
      </c>
      <c r="AX42" s="78">
        <f>MIN(AW42:AW42)</f>
        <v>14.882089638439089</v>
      </c>
      <c r="AY42" s="109">
        <f>MIN(AX42:AX42)</f>
        <v>14.882089638439089</v>
      </c>
    </row>
    <row r="43" spans="1:52" x14ac:dyDescent="0.2">
      <c r="A43" s="19" t="s">
        <v>119</v>
      </c>
      <c r="B43" s="9">
        <v>235</v>
      </c>
      <c r="C43" s="10" t="s">
        <v>24</v>
      </c>
      <c r="D43" s="11" t="s">
        <v>120</v>
      </c>
      <c r="E43" s="9" t="s">
        <v>121</v>
      </c>
      <c r="F43" s="9" t="s">
        <v>122</v>
      </c>
      <c r="G43" s="9" t="s">
        <v>52</v>
      </c>
      <c r="H43" s="9" t="s">
        <v>571</v>
      </c>
      <c r="I43" s="12" t="s">
        <v>37</v>
      </c>
      <c r="J43" s="12" t="s">
        <v>123</v>
      </c>
      <c r="K43" s="12" t="s">
        <v>123</v>
      </c>
      <c r="L43" s="12" t="s">
        <v>54</v>
      </c>
      <c r="M43" s="12">
        <v>40</v>
      </c>
      <c r="N43" s="9" t="s">
        <v>55</v>
      </c>
      <c r="O43" s="13" t="s">
        <v>33</v>
      </c>
      <c r="P43" s="14" t="s">
        <v>56</v>
      </c>
      <c r="Q43" s="9" t="s">
        <v>438</v>
      </c>
      <c r="R43" s="9">
        <v>15.3</v>
      </c>
      <c r="S43" s="9" t="s">
        <v>124</v>
      </c>
      <c r="T43" s="9">
        <v>8.1</v>
      </c>
      <c r="U43" s="9">
        <v>3.3940000000000001</v>
      </c>
      <c r="V43" s="18">
        <v>2.1</v>
      </c>
      <c r="W43" s="9">
        <v>70</v>
      </c>
      <c r="X43" s="9">
        <v>70</v>
      </c>
      <c r="Y43" s="18">
        <v>2.1</v>
      </c>
      <c r="Z43" s="15">
        <f t="shared" si="46"/>
        <v>5.9178920071141139</v>
      </c>
      <c r="AA43" s="15">
        <f t="shared" si="60"/>
        <v>7.3209431712010673</v>
      </c>
      <c r="AC43" s="16">
        <f t="shared" si="47"/>
        <v>0.38725764492161724</v>
      </c>
      <c r="AD43" s="26">
        <f t="shared" si="48"/>
        <v>2.5822601906345959</v>
      </c>
      <c r="AE43" s="51">
        <v>12</v>
      </c>
      <c r="AF43" s="85" t="str">
        <f t="shared" si="49"/>
        <v>NOEC</v>
      </c>
      <c r="AG43" s="9">
        <f t="shared" si="50"/>
        <v>1</v>
      </c>
      <c r="AH43" s="18">
        <f t="shared" si="51"/>
        <v>7.3209431712010673</v>
      </c>
      <c r="AI43" s="88" t="str">
        <f t="shared" si="52"/>
        <v>Chronic</v>
      </c>
      <c r="AJ43" s="9">
        <f t="shared" si="53"/>
        <v>1</v>
      </c>
      <c r="AK43" s="18">
        <f t="shared" si="54"/>
        <v>7.3209431712010673</v>
      </c>
      <c r="AL43" s="16"/>
      <c r="AM43" s="127" t="str">
        <f t="shared" si="55"/>
        <v>NOEC</v>
      </c>
      <c r="AN43" s="128" t="s">
        <v>356</v>
      </c>
      <c r="AO43" s="129" t="str">
        <f t="shared" si="56"/>
        <v>Chronic</v>
      </c>
      <c r="AP43" s="128" t="str">
        <f t="shared" si="61"/>
        <v>y</v>
      </c>
      <c r="AQ43" s="130" t="str">
        <f t="shared" si="57"/>
        <v>Immobility</v>
      </c>
      <c r="AR43" s="128" t="s">
        <v>459</v>
      </c>
      <c r="AS43" s="131">
        <f t="shared" si="58"/>
        <v>40</v>
      </c>
      <c r="AT43" s="128" t="s">
        <v>460</v>
      </c>
      <c r="AU43" s="128"/>
      <c r="AV43" s="143">
        <f>AK43</f>
        <v>7.3209431712010673</v>
      </c>
      <c r="AW43" s="144">
        <f>GEOMEAN(AV43:AV43)</f>
        <v>7.3209431712010673</v>
      </c>
      <c r="AX43" s="148">
        <f>MIN(AW43)</f>
        <v>7.3209431712010673</v>
      </c>
      <c r="AY43" s="149">
        <f>MIN(AX43)</f>
        <v>7.3209431712010673</v>
      </c>
    </row>
    <row r="44" spans="1:52" x14ac:dyDescent="0.2">
      <c r="A44" s="32" t="s">
        <v>132</v>
      </c>
      <c r="B44" s="33">
        <v>254</v>
      </c>
      <c r="C44" s="34" t="s">
        <v>24</v>
      </c>
      <c r="D44" s="35" t="s">
        <v>126</v>
      </c>
      <c r="E44" s="33" t="s">
        <v>121</v>
      </c>
      <c r="F44" s="33" t="s">
        <v>127</v>
      </c>
      <c r="G44" s="33" t="s">
        <v>52</v>
      </c>
      <c r="H44" s="33" t="s">
        <v>571</v>
      </c>
      <c r="I44" s="36" t="s">
        <v>128</v>
      </c>
      <c r="J44" s="36" t="s">
        <v>53</v>
      </c>
      <c r="K44" s="36" t="s">
        <v>53</v>
      </c>
      <c r="L44" s="36" t="s">
        <v>133</v>
      </c>
      <c r="M44" s="36">
        <v>28</v>
      </c>
      <c r="N44" s="33" t="s">
        <v>55</v>
      </c>
      <c r="O44" s="37" t="s">
        <v>33</v>
      </c>
      <c r="P44" s="38" t="s">
        <v>129</v>
      </c>
      <c r="Q44" s="33" t="s">
        <v>130</v>
      </c>
      <c r="R44" s="33">
        <v>20</v>
      </c>
      <c r="S44" s="33" t="s">
        <v>131</v>
      </c>
      <c r="T44" s="33">
        <v>8.1999999999999993</v>
      </c>
      <c r="U44" s="33">
        <v>5.9020000000000001</v>
      </c>
      <c r="V44" s="33" t="s">
        <v>134</v>
      </c>
      <c r="W44" s="33" t="s">
        <v>37</v>
      </c>
      <c r="X44" s="33">
        <v>7.67</v>
      </c>
      <c r="Y44" s="33">
        <v>0.13</v>
      </c>
      <c r="Z44" s="40">
        <f t="shared" si="46"/>
        <v>0.4284575216169903</v>
      </c>
      <c r="AA44" s="40">
        <f t="shared" si="60"/>
        <v>0.71764187351232123</v>
      </c>
      <c r="AB44" t="s">
        <v>577</v>
      </c>
      <c r="AC44" s="16">
        <f t="shared" si="47"/>
        <v>0.30760968147407108</v>
      </c>
      <c r="AD44" s="26">
        <f t="shared" si="48"/>
        <v>3.2508729738543409</v>
      </c>
      <c r="AE44" s="51">
        <v>12</v>
      </c>
      <c r="AF44" s="85" t="str">
        <f t="shared" si="49"/>
        <v>IC10</v>
      </c>
      <c r="AG44" s="9">
        <f t="shared" si="50"/>
        <v>1</v>
      </c>
      <c r="AH44" s="18">
        <f t="shared" si="51"/>
        <v>0.71764187351232123</v>
      </c>
      <c r="AI44" s="88" t="str">
        <f t="shared" si="52"/>
        <v>Chronic</v>
      </c>
      <c r="AJ44" s="9">
        <f t="shared" si="53"/>
        <v>1</v>
      </c>
      <c r="AK44" s="18">
        <f t="shared" si="54"/>
        <v>0.71764187351232123</v>
      </c>
      <c r="AL44" s="16"/>
      <c r="AM44" s="132" t="str">
        <f t="shared" si="55"/>
        <v>IC10</v>
      </c>
      <c r="AN44" s="67" t="s">
        <v>356</v>
      </c>
      <c r="AO44" s="88" t="str">
        <f t="shared" si="56"/>
        <v>Chronic</v>
      </c>
      <c r="AP44" s="67" t="str">
        <f t="shared" si="61"/>
        <v>y</v>
      </c>
      <c r="AQ44" s="69" t="str">
        <f t="shared" si="57"/>
        <v>Mortality</v>
      </c>
      <c r="AR44" s="67" t="s">
        <v>459</v>
      </c>
      <c r="AS44" s="70">
        <f t="shared" si="58"/>
        <v>28</v>
      </c>
      <c r="AT44" s="67" t="s">
        <v>460</v>
      </c>
      <c r="AU44" s="67"/>
      <c r="AV44" s="151">
        <f>AK44</f>
        <v>0.71764187351232123</v>
      </c>
      <c r="AW44" s="95">
        <f>GEOMEAN(AV44:AV44)</f>
        <v>0.71764187351232123</v>
      </c>
      <c r="AX44" s="96">
        <f>MIN(AW44)</f>
        <v>0.71764187351232123</v>
      </c>
      <c r="AY44" s="153">
        <f>MIN(AX44)</f>
        <v>0.71764187351232123</v>
      </c>
    </row>
    <row r="45" spans="1:52" x14ac:dyDescent="0.2">
      <c r="A45" s="19" t="s">
        <v>144</v>
      </c>
      <c r="B45" s="9">
        <v>253</v>
      </c>
      <c r="C45" s="10" t="s">
        <v>24</v>
      </c>
      <c r="D45" s="11" t="s">
        <v>139</v>
      </c>
      <c r="E45" s="9" t="s">
        <v>121</v>
      </c>
      <c r="F45" s="9" t="s">
        <v>127</v>
      </c>
      <c r="G45" s="9" t="s">
        <v>52</v>
      </c>
      <c r="H45" s="9" t="s">
        <v>571</v>
      </c>
      <c r="I45" s="12" t="s">
        <v>140</v>
      </c>
      <c r="J45" s="12" t="s">
        <v>53</v>
      </c>
      <c r="K45" s="12" t="s">
        <v>53</v>
      </c>
      <c r="L45" s="12" t="s">
        <v>31</v>
      </c>
      <c r="M45" s="12">
        <v>28</v>
      </c>
      <c r="N45" s="9" t="s">
        <v>55</v>
      </c>
      <c r="O45" s="13" t="s">
        <v>33</v>
      </c>
      <c r="P45" s="14" t="s">
        <v>141</v>
      </c>
      <c r="Q45" s="9">
        <v>20</v>
      </c>
      <c r="R45" s="9">
        <v>20</v>
      </c>
      <c r="S45" s="9" t="s">
        <v>142</v>
      </c>
      <c r="T45" s="9">
        <v>8.26</v>
      </c>
      <c r="U45" s="9">
        <v>6.718</v>
      </c>
      <c r="V45" s="9">
        <v>0.54</v>
      </c>
      <c r="W45" s="9" t="s">
        <v>37</v>
      </c>
      <c r="X45" s="9">
        <v>36.299999999999997</v>
      </c>
      <c r="Y45" s="9">
        <v>0.54</v>
      </c>
      <c r="Z45" s="15">
        <f t="shared" si="46"/>
        <v>1.9610361754850452</v>
      </c>
      <c r="AA45" s="15">
        <f t="shared" si="60"/>
        <v>3.2846235717588073</v>
      </c>
      <c r="AC45" s="16">
        <f t="shared" si="47"/>
        <v>0.26791683248190312</v>
      </c>
      <c r="AD45" s="26">
        <f t="shared" si="48"/>
        <v>3.7325015779572066</v>
      </c>
      <c r="AE45" s="51">
        <v>12</v>
      </c>
      <c r="AF45" s="85" t="str">
        <f t="shared" si="49"/>
        <v>EC10</v>
      </c>
      <c r="AG45" s="9">
        <f t="shared" si="50"/>
        <v>1</v>
      </c>
      <c r="AH45" s="18">
        <f t="shared" si="51"/>
        <v>3.2846235717588073</v>
      </c>
      <c r="AI45" s="88" t="str">
        <f t="shared" si="52"/>
        <v>Chronic</v>
      </c>
      <c r="AJ45" s="9">
        <f t="shared" si="53"/>
        <v>1</v>
      </c>
      <c r="AK45" s="18">
        <f t="shared" si="54"/>
        <v>3.2846235717588073</v>
      </c>
      <c r="AM45" s="101" t="str">
        <f t="shared" si="55"/>
        <v>EC10</v>
      </c>
      <c r="AN45" s="102" t="s">
        <v>356</v>
      </c>
      <c r="AO45" s="103" t="str">
        <f t="shared" si="56"/>
        <v>Chronic</v>
      </c>
      <c r="AP45" s="102" t="str">
        <f t="shared" si="61"/>
        <v>y</v>
      </c>
      <c r="AQ45" s="104" t="str">
        <f t="shared" si="57"/>
        <v>Mortality</v>
      </c>
      <c r="AR45" s="196" t="s">
        <v>459</v>
      </c>
      <c r="AS45" s="105">
        <f t="shared" si="58"/>
        <v>28</v>
      </c>
      <c r="AT45" s="158" t="s">
        <v>460</v>
      </c>
      <c r="AU45" s="197"/>
      <c r="AV45" s="154">
        <f t="shared" ref="AV45:AV48" si="64">AK45</f>
        <v>3.2846235717588073</v>
      </c>
      <c r="AW45" s="155"/>
      <c r="AX45" s="197"/>
      <c r="AY45" s="198"/>
    </row>
    <row r="46" spans="1:52" x14ac:dyDescent="0.2">
      <c r="A46" s="19" t="s">
        <v>146</v>
      </c>
      <c r="B46" s="9">
        <v>254</v>
      </c>
      <c r="C46" s="10" t="s">
        <v>24</v>
      </c>
      <c r="D46" s="11" t="s">
        <v>139</v>
      </c>
      <c r="E46" s="9" t="s">
        <v>121</v>
      </c>
      <c r="F46" s="9" t="s">
        <v>127</v>
      </c>
      <c r="G46" s="9" t="s">
        <v>52</v>
      </c>
      <c r="H46" s="9" t="s">
        <v>571</v>
      </c>
      <c r="I46" s="12" t="s">
        <v>140</v>
      </c>
      <c r="J46" s="12" t="s">
        <v>53</v>
      </c>
      <c r="K46" s="12" t="s">
        <v>53</v>
      </c>
      <c r="L46" s="12" t="s">
        <v>133</v>
      </c>
      <c r="M46" s="12">
        <v>28</v>
      </c>
      <c r="N46" s="9" t="s">
        <v>55</v>
      </c>
      <c r="O46" s="13" t="s">
        <v>33</v>
      </c>
      <c r="P46" s="14" t="s">
        <v>129</v>
      </c>
      <c r="Q46" s="9" t="s">
        <v>130</v>
      </c>
      <c r="R46" s="9">
        <v>20</v>
      </c>
      <c r="S46" s="9" t="s">
        <v>131</v>
      </c>
      <c r="T46" s="9">
        <v>8.1999999999999993</v>
      </c>
      <c r="U46" s="9">
        <v>5.9020000000000001</v>
      </c>
      <c r="V46" s="9" t="s">
        <v>134</v>
      </c>
      <c r="W46" s="9" t="s">
        <v>37</v>
      </c>
      <c r="X46" s="9">
        <v>7.67</v>
      </c>
      <c r="Y46" s="9">
        <v>0.13</v>
      </c>
      <c r="Z46" s="15">
        <f t="shared" si="46"/>
        <v>0.4284575216169903</v>
      </c>
      <c r="AA46" s="15">
        <f t="shared" si="60"/>
        <v>0.71764187351232123</v>
      </c>
      <c r="AB46" t="s">
        <v>577</v>
      </c>
      <c r="AC46" s="16">
        <f t="shared" si="47"/>
        <v>0.30760968147407108</v>
      </c>
      <c r="AD46" s="26">
        <f t="shared" si="48"/>
        <v>3.2508729738543409</v>
      </c>
      <c r="AE46" s="51">
        <v>12</v>
      </c>
      <c r="AF46" s="85" t="str">
        <f t="shared" si="49"/>
        <v>IC10</v>
      </c>
      <c r="AG46" s="9">
        <f t="shared" si="50"/>
        <v>1</v>
      </c>
      <c r="AH46" s="18">
        <f t="shared" si="51"/>
        <v>0.71764187351232123</v>
      </c>
      <c r="AI46" s="88" t="str">
        <f t="shared" si="52"/>
        <v>Chronic</v>
      </c>
      <c r="AJ46" s="9">
        <f t="shared" si="53"/>
        <v>1</v>
      </c>
      <c r="AK46" s="18">
        <f t="shared" si="54"/>
        <v>0.71764187351232123</v>
      </c>
      <c r="AL46" s="16"/>
      <c r="AM46" s="110" t="str">
        <f t="shared" si="55"/>
        <v>IC10</v>
      </c>
      <c r="AN46" s="111" t="s">
        <v>356</v>
      </c>
      <c r="AO46" s="112" t="str">
        <f t="shared" si="56"/>
        <v>Chronic</v>
      </c>
      <c r="AP46" s="111" t="str">
        <f t="shared" si="61"/>
        <v>y</v>
      </c>
      <c r="AQ46" s="134" t="str">
        <f t="shared" si="57"/>
        <v>Mortality</v>
      </c>
      <c r="AR46" s="199" t="s">
        <v>459</v>
      </c>
      <c r="AS46" s="114">
        <f t="shared" si="58"/>
        <v>28</v>
      </c>
      <c r="AT46" s="199" t="s">
        <v>460</v>
      </c>
      <c r="AU46" s="200"/>
      <c r="AV46" s="152">
        <f t="shared" si="64"/>
        <v>0.71764187351232123</v>
      </c>
      <c r="AW46" s="140">
        <f>GEOMEAN(AV45:AV46)</f>
        <v>1.5353121551722706</v>
      </c>
      <c r="AX46" s="141">
        <f>MIN(AW46)</f>
        <v>1.5353121551722706</v>
      </c>
      <c r="AY46" s="142">
        <f>MIN(AX46:AX46)</f>
        <v>1.5353121551722706</v>
      </c>
    </row>
    <row r="47" spans="1:52" x14ac:dyDescent="0.2">
      <c r="A47" s="32" t="s">
        <v>148</v>
      </c>
      <c r="B47" s="33">
        <v>256</v>
      </c>
      <c r="C47" s="38" t="s">
        <v>24</v>
      </c>
      <c r="D47" s="35" t="s">
        <v>149</v>
      </c>
      <c r="E47" s="33" t="s">
        <v>121</v>
      </c>
      <c r="F47" s="33" t="s">
        <v>127</v>
      </c>
      <c r="G47" s="33" t="s">
        <v>52</v>
      </c>
      <c r="H47" s="33" t="s">
        <v>571</v>
      </c>
      <c r="I47" s="33" t="s">
        <v>37</v>
      </c>
      <c r="J47" s="36" t="s">
        <v>53</v>
      </c>
      <c r="K47" s="36" t="s">
        <v>53</v>
      </c>
      <c r="L47" s="36" t="s">
        <v>54</v>
      </c>
      <c r="M47" s="36">
        <v>6</v>
      </c>
      <c r="N47" s="33" t="s">
        <v>102</v>
      </c>
      <c r="O47" s="37" t="s">
        <v>33</v>
      </c>
      <c r="P47" s="38" t="s">
        <v>150</v>
      </c>
      <c r="Q47" s="33" t="s">
        <v>151</v>
      </c>
      <c r="R47" s="33">
        <v>21.8</v>
      </c>
      <c r="S47" s="33" t="s">
        <v>152</v>
      </c>
      <c r="T47" s="33">
        <v>7.8</v>
      </c>
      <c r="U47" s="33">
        <v>2.7679999999999998</v>
      </c>
      <c r="V47" s="33" t="s">
        <v>37</v>
      </c>
      <c r="W47" s="33">
        <v>30</v>
      </c>
      <c r="X47" s="33">
        <v>30</v>
      </c>
      <c r="Y47" s="40">
        <f t="shared" ref="Y47" si="65">X47/((U47/100)*1000)</f>
        <v>1.0838150289017343</v>
      </c>
      <c r="Z47" s="40">
        <f t="shared" si="46"/>
        <v>2.0127302212112239</v>
      </c>
      <c r="AA47" s="40">
        <f t="shared" si="60"/>
        <v>3.7860432217195918</v>
      </c>
      <c r="AB47" s="16"/>
      <c r="AC47" s="16">
        <f t="shared" si="47"/>
        <v>0.77268058509570214</v>
      </c>
      <c r="AD47" s="26">
        <f t="shared" si="48"/>
        <v>1.2941958414499863</v>
      </c>
      <c r="AE47" s="51">
        <v>12</v>
      </c>
      <c r="AF47" s="85" t="str">
        <f t="shared" si="49"/>
        <v>NOEC</v>
      </c>
      <c r="AG47" s="9">
        <f t="shared" si="50"/>
        <v>1</v>
      </c>
      <c r="AH47" s="18">
        <f t="shared" si="51"/>
        <v>3.7860432217195918</v>
      </c>
      <c r="AI47" s="88" t="str">
        <f t="shared" si="52"/>
        <v>Chronic</v>
      </c>
      <c r="AJ47" s="9">
        <f t="shared" si="53"/>
        <v>1</v>
      </c>
      <c r="AK47" s="18">
        <f t="shared" si="54"/>
        <v>3.7860432217195918</v>
      </c>
      <c r="AL47" s="16"/>
      <c r="AM47" s="101" t="str">
        <f t="shared" si="55"/>
        <v>NOEC</v>
      </c>
      <c r="AN47" s="102" t="s">
        <v>356</v>
      </c>
      <c r="AO47" s="103" t="str">
        <f t="shared" si="56"/>
        <v>Chronic</v>
      </c>
      <c r="AP47" s="102" t="str">
        <f t="shared" si="61"/>
        <v>y</v>
      </c>
      <c r="AQ47" s="104" t="str">
        <f t="shared" si="57"/>
        <v>Mortality</v>
      </c>
      <c r="AR47" s="102" t="s">
        <v>459</v>
      </c>
      <c r="AS47" s="105">
        <f t="shared" si="58"/>
        <v>6</v>
      </c>
      <c r="AT47" s="102" t="s">
        <v>460</v>
      </c>
      <c r="AU47" s="102"/>
      <c r="AV47" s="154">
        <f t="shared" si="64"/>
        <v>3.7860432217195918</v>
      </c>
      <c r="AW47" s="118">
        <f>GEOMEAN(AV47)</f>
        <v>3.7860432217195918</v>
      </c>
      <c r="AX47" s="119">
        <f>MIN(AW47:AW47)</f>
        <v>3.7860432217195918</v>
      </c>
      <c r="AY47" s="126">
        <f>MIN(AX47)</f>
        <v>3.7860432217195918</v>
      </c>
    </row>
    <row r="48" spans="1:52" x14ac:dyDescent="0.2">
      <c r="A48" s="8" t="s">
        <v>168</v>
      </c>
      <c r="B48" s="9">
        <v>242</v>
      </c>
      <c r="C48" s="10" t="s">
        <v>24</v>
      </c>
      <c r="D48" s="11" t="s">
        <v>155</v>
      </c>
      <c r="E48" s="9" t="s">
        <v>121</v>
      </c>
      <c r="F48" s="9" t="s">
        <v>127</v>
      </c>
      <c r="G48" s="9" t="s">
        <v>52</v>
      </c>
      <c r="H48" s="9" t="s">
        <v>571</v>
      </c>
      <c r="I48" s="12" t="s">
        <v>156</v>
      </c>
      <c r="J48" s="12" t="s">
        <v>136</v>
      </c>
      <c r="K48" s="12" t="s">
        <v>169</v>
      </c>
      <c r="L48" s="12" t="s">
        <v>54</v>
      </c>
      <c r="M48" s="12">
        <v>60</v>
      </c>
      <c r="N48" s="9" t="s">
        <v>55</v>
      </c>
      <c r="O48" s="13" t="s">
        <v>33</v>
      </c>
      <c r="P48" s="14" t="s">
        <v>157</v>
      </c>
      <c r="Q48" s="9">
        <v>20</v>
      </c>
      <c r="R48" s="9">
        <v>20</v>
      </c>
      <c r="S48" s="28" t="s">
        <v>158</v>
      </c>
      <c r="T48" s="28">
        <v>7.73</v>
      </c>
      <c r="U48" s="26" t="s">
        <v>170</v>
      </c>
      <c r="V48" s="9">
        <v>0.65</v>
      </c>
      <c r="W48" s="9">
        <v>12</v>
      </c>
      <c r="X48" s="9">
        <v>12</v>
      </c>
      <c r="Y48" s="9">
        <v>0.65</v>
      </c>
      <c r="Z48" s="15">
        <f t="shared" si="46"/>
        <v>1.1105489745328638</v>
      </c>
      <c r="AA48" s="15">
        <f t="shared" si="60"/>
        <v>1.8601060933722859</v>
      </c>
      <c r="AC48" s="16">
        <f t="shared" si="47"/>
        <v>0.90782053017818432</v>
      </c>
      <c r="AD48" s="26">
        <f t="shared" si="48"/>
        <v>1.1015393095414168</v>
      </c>
      <c r="AE48" s="51">
        <v>12</v>
      </c>
      <c r="AF48" s="85" t="str">
        <f t="shared" si="49"/>
        <v>NOEC</v>
      </c>
      <c r="AG48" s="9">
        <f t="shared" si="50"/>
        <v>1</v>
      </c>
      <c r="AH48" s="18">
        <f t="shared" si="51"/>
        <v>1.8601060933722859</v>
      </c>
      <c r="AI48" s="88" t="str">
        <f t="shared" si="52"/>
        <v>Chronic</v>
      </c>
      <c r="AJ48" s="9">
        <f t="shared" si="53"/>
        <v>1</v>
      </c>
      <c r="AK48" s="18">
        <f t="shared" si="54"/>
        <v>1.8601060933722859</v>
      </c>
      <c r="AL48" s="16"/>
      <c r="AM48" s="110" t="str">
        <f t="shared" si="55"/>
        <v>NOEC</v>
      </c>
      <c r="AN48" s="111" t="s">
        <v>356</v>
      </c>
      <c r="AO48" s="112" t="str">
        <f t="shared" si="56"/>
        <v>Chronic</v>
      </c>
      <c r="AP48" s="111" t="str">
        <f t="shared" si="61"/>
        <v>y</v>
      </c>
      <c r="AQ48" s="134" t="str">
        <f t="shared" si="57"/>
        <v>Length</v>
      </c>
      <c r="AR48" s="111" t="s">
        <v>475</v>
      </c>
      <c r="AS48" s="114">
        <f t="shared" si="58"/>
        <v>60</v>
      </c>
      <c r="AT48" s="111" t="s">
        <v>476</v>
      </c>
      <c r="AU48" s="111"/>
      <c r="AV48" s="152">
        <f t="shared" si="64"/>
        <v>1.8601060933722859</v>
      </c>
      <c r="AW48" s="140">
        <f>GEOMEAN(AV48)</f>
        <v>1.8601060933722859</v>
      </c>
      <c r="AX48" s="141">
        <f>MIN(AW48)</f>
        <v>1.8601060933722859</v>
      </c>
      <c r="AY48" s="142">
        <f>MIN(AX48:AX48)</f>
        <v>1.8601060933722859</v>
      </c>
    </row>
    <row r="49" spans="1:52" x14ac:dyDescent="0.2">
      <c r="A49" s="32" t="s">
        <v>176</v>
      </c>
      <c r="B49" s="33">
        <v>254</v>
      </c>
      <c r="C49" s="34" t="s">
        <v>24</v>
      </c>
      <c r="D49" s="35" t="s">
        <v>172</v>
      </c>
      <c r="E49" s="33" t="s">
        <v>121</v>
      </c>
      <c r="F49" s="33" t="s">
        <v>127</v>
      </c>
      <c r="G49" s="33" t="s">
        <v>52</v>
      </c>
      <c r="H49" s="33" t="s">
        <v>571</v>
      </c>
      <c r="I49" s="36" t="s">
        <v>128</v>
      </c>
      <c r="J49" s="36" t="s">
        <v>177</v>
      </c>
      <c r="K49" s="36" t="s">
        <v>137</v>
      </c>
      <c r="L49" s="36" t="s">
        <v>133</v>
      </c>
      <c r="M49" s="36">
        <v>28</v>
      </c>
      <c r="N49" s="33" t="s">
        <v>55</v>
      </c>
      <c r="O49" s="37" t="s">
        <v>33</v>
      </c>
      <c r="P49" s="38" t="s">
        <v>129</v>
      </c>
      <c r="Q49" s="33" t="s">
        <v>130</v>
      </c>
      <c r="R49" s="33">
        <v>20</v>
      </c>
      <c r="S49" s="33" t="s">
        <v>131</v>
      </c>
      <c r="T49" s="33">
        <v>8.1999999999999993</v>
      </c>
      <c r="U49" s="33">
        <v>5.9020000000000001</v>
      </c>
      <c r="V49" s="33" t="s">
        <v>175</v>
      </c>
      <c r="W49" s="33" t="s">
        <v>37</v>
      </c>
      <c r="X49" s="33">
        <v>23.6</v>
      </c>
      <c r="Y49" s="33">
        <v>0.4</v>
      </c>
      <c r="Z49" s="40">
        <f t="shared" si="46"/>
        <v>1.3183308357445855</v>
      </c>
      <c r="AA49" s="40">
        <f t="shared" si="60"/>
        <v>2.2081288415763733</v>
      </c>
      <c r="AB49" t="s">
        <v>577</v>
      </c>
      <c r="AC49" s="16">
        <f t="shared" si="47"/>
        <v>0.30760968147407108</v>
      </c>
      <c r="AD49" s="26">
        <f t="shared" si="48"/>
        <v>3.2508729738543409</v>
      </c>
      <c r="AE49" s="51">
        <v>12</v>
      </c>
      <c r="AF49" s="85" t="str">
        <f t="shared" si="49"/>
        <v>IC10</v>
      </c>
      <c r="AG49" s="9">
        <f t="shared" si="50"/>
        <v>1</v>
      </c>
      <c r="AH49" s="18">
        <f t="shared" si="51"/>
        <v>2.2081288415763733</v>
      </c>
      <c r="AI49" s="88" t="str">
        <f t="shared" si="52"/>
        <v>Chronic</v>
      </c>
      <c r="AJ49" s="9">
        <f t="shared" si="53"/>
        <v>1</v>
      </c>
      <c r="AK49" s="18">
        <f t="shared" si="54"/>
        <v>2.2081288415763733</v>
      </c>
      <c r="AL49" s="16"/>
      <c r="AM49" s="110" t="str">
        <f t="shared" si="55"/>
        <v>IC10</v>
      </c>
      <c r="AN49" s="111" t="s">
        <v>356</v>
      </c>
      <c r="AO49" s="112" t="str">
        <f t="shared" si="56"/>
        <v>Chronic</v>
      </c>
      <c r="AP49" s="111" t="str">
        <f t="shared" si="61"/>
        <v>y</v>
      </c>
      <c r="AQ49" s="134" t="str">
        <f t="shared" si="57"/>
        <v>Shell length</v>
      </c>
      <c r="AR49" s="111" t="s">
        <v>473</v>
      </c>
      <c r="AS49" s="114">
        <f t="shared" si="58"/>
        <v>28</v>
      </c>
      <c r="AT49" s="111" t="s">
        <v>474</v>
      </c>
      <c r="AU49" s="111"/>
      <c r="AV49" s="152">
        <f>AK49</f>
        <v>2.2081288415763733</v>
      </c>
      <c r="AW49" s="140">
        <f>GEOMEAN(AV49)</f>
        <v>2.2081288415763733</v>
      </c>
      <c r="AX49" s="141">
        <f>MIN(AW49)</f>
        <v>2.2081288415763733</v>
      </c>
      <c r="AY49" s="142">
        <f>MIN(AX49:AX49)</f>
        <v>2.2081288415763733</v>
      </c>
    </row>
    <row r="50" spans="1:52" x14ac:dyDescent="0.2">
      <c r="A50" s="193" t="s">
        <v>601</v>
      </c>
      <c r="AM50" s="87"/>
      <c r="AV50" s="87"/>
      <c r="AY50" s="206"/>
    </row>
    <row r="51" spans="1:52" x14ac:dyDescent="0.2">
      <c r="A51" s="32" t="s">
        <v>48</v>
      </c>
      <c r="B51" s="33">
        <v>236</v>
      </c>
      <c r="C51" s="34" t="s">
        <v>24</v>
      </c>
      <c r="D51" s="35" t="s">
        <v>49</v>
      </c>
      <c r="E51" s="33" t="s">
        <v>50</v>
      </c>
      <c r="F51" s="33" t="s">
        <v>51</v>
      </c>
      <c r="G51" s="33" t="s">
        <v>52</v>
      </c>
      <c r="H51" s="33" t="s">
        <v>571</v>
      </c>
      <c r="I51" s="36" t="s">
        <v>37</v>
      </c>
      <c r="J51" s="36" t="s">
        <v>53</v>
      </c>
      <c r="K51" s="36" t="s">
        <v>53</v>
      </c>
      <c r="L51" s="36" t="s">
        <v>54</v>
      </c>
      <c r="M51" s="36">
        <v>30</v>
      </c>
      <c r="N51" s="33" t="s">
        <v>55</v>
      </c>
      <c r="O51" s="37" t="s">
        <v>33</v>
      </c>
      <c r="P51" s="38" t="s">
        <v>56</v>
      </c>
      <c r="Q51" s="33" t="s">
        <v>57</v>
      </c>
      <c r="R51" s="40">
        <v>15.1</v>
      </c>
      <c r="S51" s="33" t="s">
        <v>58</v>
      </c>
      <c r="T51" s="33">
        <v>8.11</v>
      </c>
      <c r="U51" s="33">
        <v>3.42</v>
      </c>
      <c r="V51" s="33" t="s">
        <v>37</v>
      </c>
      <c r="W51" s="33">
        <v>20</v>
      </c>
      <c r="X51" s="40">
        <v>20</v>
      </c>
      <c r="Y51" s="40">
        <f t="shared" ref="Y51:Y55" si="66">X51/((U51/100)*1000)</f>
        <v>0.58479532163742687</v>
      </c>
      <c r="Z51" s="40">
        <f t="shared" ref="Z51:Z64" si="67">Y51/((0.0278/(1+AC51))+(1.1994/(1+AD51)))</f>
        <v>1.6734482467670493</v>
      </c>
      <c r="AA51" s="40">
        <f>POWER(10,LOG(Z51)-(-0.028*(R51-AE51)))</f>
        <v>1.9160740356009291</v>
      </c>
      <c r="AC51" s="16">
        <f t="shared" ref="AC51:AC64" si="68">POWER(10,7.688-T51)</f>
        <v>0.37844258471709358</v>
      </c>
      <c r="AD51" s="26">
        <f t="shared" ref="AD51:AD64" si="69">POWER(10,T51-7.688)</f>
        <v>2.6424087573219448</v>
      </c>
      <c r="AE51" s="51">
        <v>13</v>
      </c>
      <c r="AF51" s="85" t="str">
        <f t="shared" ref="AF51:AF64" si="70">L51</f>
        <v>NOEC</v>
      </c>
      <c r="AG51" s="9">
        <f t="shared" ref="AG51:AG64" si="71">VLOOKUP(AF51,$BD$6:$BE$17,2,FALSE)</f>
        <v>1</v>
      </c>
      <c r="AH51" s="18">
        <f t="shared" ref="AH51:AH64" si="72">AA51/AG51</f>
        <v>1.9160740356009291</v>
      </c>
      <c r="AI51" s="88" t="str">
        <f t="shared" ref="AI51:AI64" si="73">O51</f>
        <v>Chronic</v>
      </c>
      <c r="AJ51" s="9">
        <f t="shared" ref="AJ51:AJ64" si="74">VLOOKUP(AI51,$BD$19:$BF$20,2,FALSE)</f>
        <v>1</v>
      </c>
      <c r="AK51" s="18">
        <f t="shared" ref="AK51:AK64" si="75">AH51/AJ51</f>
        <v>1.9160740356009291</v>
      </c>
      <c r="AL51" s="16"/>
      <c r="AM51" s="127" t="str">
        <f t="shared" ref="AM51:AM64" si="76">L51</f>
        <v>NOEC</v>
      </c>
      <c r="AN51" s="128" t="s">
        <v>356</v>
      </c>
      <c r="AO51" s="129" t="str">
        <f t="shared" ref="AO51:AO64" si="77">O51</f>
        <v>Chronic</v>
      </c>
      <c r="AP51" s="128" t="str">
        <f>IF(AO51="chronic","y","n")</f>
        <v>y</v>
      </c>
      <c r="AQ51" s="130" t="str">
        <f t="shared" ref="AQ51:AQ64" si="78">K51</f>
        <v>Mortality</v>
      </c>
      <c r="AR51" s="128" t="s">
        <v>459</v>
      </c>
      <c r="AS51" s="131">
        <f t="shared" ref="AS51:AS64" si="79">M51</f>
        <v>30</v>
      </c>
      <c r="AT51" s="128" t="s">
        <v>460</v>
      </c>
      <c r="AU51" s="128"/>
      <c r="AV51" s="189">
        <f t="shared" ref="AV51:AV57" si="80">AK51</f>
        <v>1.9160740356009291</v>
      </c>
      <c r="AW51" s="144">
        <f>GEOMEAN(AV51)</f>
        <v>1.9160740356009291</v>
      </c>
      <c r="AX51" s="148">
        <f>MIN(AW51)</f>
        <v>1.9160740356009291</v>
      </c>
      <c r="AY51" s="149">
        <f>MIN(AX51)</f>
        <v>1.9160740356009291</v>
      </c>
      <c r="AZ51" s="206" t="str">
        <f>A50</f>
        <v>13°C</v>
      </c>
    </row>
    <row r="52" spans="1:52" x14ac:dyDescent="0.2">
      <c r="A52" s="19" t="s">
        <v>59</v>
      </c>
      <c r="B52" s="9">
        <v>245</v>
      </c>
      <c r="C52" s="10" t="s">
        <v>24</v>
      </c>
      <c r="D52" s="11" t="s">
        <v>60</v>
      </c>
      <c r="E52" s="20" t="s">
        <v>61</v>
      </c>
      <c r="F52" s="9" t="s">
        <v>62</v>
      </c>
      <c r="G52" s="9" t="s">
        <v>52</v>
      </c>
      <c r="H52" s="9" t="s">
        <v>571</v>
      </c>
      <c r="I52" s="12" t="s">
        <v>63</v>
      </c>
      <c r="J52" s="12" t="s">
        <v>64</v>
      </c>
      <c r="K52" s="12" t="s">
        <v>64</v>
      </c>
      <c r="L52" s="12" t="s">
        <v>54</v>
      </c>
      <c r="M52" s="12">
        <v>7</v>
      </c>
      <c r="N52" s="9" t="s">
        <v>55</v>
      </c>
      <c r="O52" s="21" t="s">
        <v>33</v>
      </c>
      <c r="P52" s="14" t="s">
        <v>65</v>
      </c>
      <c r="Q52" s="9">
        <v>25</v>
      </c>
      <c r="R52" s="9">
        <v>25</v>
      </c>
      <c r="S52" s="22">
        <v>8</v>
      </c>
      <c r="T52" s="22">
        <v>8</v>
      </c>
      <c r="U52" s="20">
        <v>5.3659999999999997</v>
      </c>
      <c r="V52" s="20" t="s">
        <v>37</v>
      </c>
      <c r="W52" s="20">
        <v>680</v>
      </c>
      <c r="X52" s="9">
        <v>680</v>
      </c>
      <c r="Y52" s="27">
        <f t="shared" si="66"/>
        <v>12.672381662318301</v>
      </c>
      <c r="Z52" s="15">
        <f t="shared" si="67"/>
        <v>30.774279778328605</v>
      </c>
      <c r="AA52" s="15">
        <f t="shared" ref="AA52:AA64" si="81">POWER(10,LOG(Z52)-(-0.028*(R52-AE52)))</f>
        <v>66.709532598352666</v>
      </c>
      <c r="AC52" s="16">
        <f t="shared" si="68"/>
        <v>0.48752849010338595</v>
      </c>
      <c r="AD52" s="26">
        <f t="shared" si="69"/>
        <v>2.051162178825567</v>
      </c>
      <c r="AE52" s="51">
        <v>13</v>
      </c>
      <c r="AF52" s="85" t="str">
        <f t="shared" si="70"/>
        <v>NOEC</v>
      </c>
      <c r="AG52" s="9">
        <f t="shared" si="71"/>
        <v>1</v>
      </c>
      <c r="AH52" s="18">
        <f t="shared" si="72"/>
        <v>66.709532598352666</v>
      </c>
      <c r="AI52" s="88" t="str">
        <f t="shared" si="73"/>
        <v>Chronic</v>
      </c>
      <c r="AJ52" s="9">
        <f t="shared" si="74"/>
        <v>1</v>
      </c>
      <c r="AK52" s="18">
        <f t="shared" si="75"/>
        <v>66.709532598352666</v>
      </c>
      <c r="AL52" s="16"/>
      <c r="AM52" s="101" t="str">
        <f t="shared" si="76"/>
        <v>NOEC</v>
      </c>
      <c r="AN52" s="102" t="s">
        <v>356</v>
      </c>
      <c r="AO52" s="103" t="str">
        <f t="shared" si="77"/>
        <v>Chronic</v>
      </c>
      <c r="AP52" s="102" t="str">
        <f t="shared" ref="AP52:AP64" si="82">IF(AO52="chronic","y","n")</f>
        <v>y</v>
      </c>
      <c r="AQ52" s="104" t="str">
        <f t="shared" si="78"/>
        <v>Reproduction</v>
      </c>
      <c r="AR52" s="102" t="s">
        <v>459</v>
      </c>
      <c r="AS52" s="105">
        <f t="shared" si="79"/>
        <v>7</v>
      </c>
      <c r="AT52" s="102" t="s">
        <v>460</v>
      </c>
      <c r="AU52" s="102"/>
      <c r="AV52" s="106">
        <f t="shared" si="80"/>
        <v>66.709532598352666</v>
      </c>
      <c r="AW52" s="107">
        <f>GEOMEAN(AV52:AV52)</f>
        <v>66.709532598352666</v>
      </c>
      <c r="AX52" s="108">
        <f>MIN(AW52:AW52)</f>
        <v>66.709532598352666</v>
      </c>
      <c r="AY52" s="109">
        <f>MIN(AX52)</f>
        <v>66.709532598352666</v>
      </c>
    </row>
    <row r="53" spans="1:52" x14ac:dyDescent="0.2">
      <c r="A53" s="32" t="s">
        <v>82</v>
      </c>
      <c r="B53" s="33">
        <v>240</v>
      </c>
      <c r="C53" s="34" t="s">
        <v>24</v>
      </c>
      <c r="D53" s="35" t="s">
        <v>77</v>
      </c>
      <c r="E53" s="33" t="s">
        <v>61</v>
      </c>
      <c r="F53" s="33" t="s">
        <v>62</v>
      </c>
      <c r="G53" s="33" t="s">
        <v>52</v>
      </c>
      <c r="H53" s="33" t="s">
        <v>571</v>
      </c>
      <c r="I53" s="36" t="s">
        <v>78</v>
      </c>
      <c r="J53" s="36" t="s">
        <v>83</v>
      </c>
      <c r="K53" s="36" t="s">
        <v>84</v>
      </c>
      <c r="L53" s="36" t="s">
        <v>54</v>
      </c>
      <c r="M53" s="36">
        <v>21</v>
      </c>
      <c r="N53" s="33" t="s">
        <v>55</v>
      </c>
      <c r="O53" s="37" t="s">
        <v>33</v>
      </c>
      <c r="P53" s="38" t="s">
        <v>79</v>
      </c>
      <c r="Q53" s="33" t="s">
        <v>80</v>
      </c>
      <c r="R53" s="40">
        <v>19.8</v>
      </c>
      <c r="S53" s="33" t="s">
        <v>81</v>
      </c>
      <c r="T53" s="33">
        <v>8.4499999999999993</v>
      </c>
      <c r="U53" s="33">
        <v>9.9039999999999999</v>
      </c>
      <c r="V53" s="44" t="s">
        <v>37</v>
      </c>
      <c r="W53" s="44" t="s">
        <v>37</v>
      </c>
      <c r="X53" s="33">
        <v>420</v>
      </c>
      <c r="Y53" s="40">
        <f t="shared" si="66"/>
        <v>4.2407108239095308</v>
      </c>
      <c r="Z53" s="40">
        <f t="shared" si="67"/>
        <v>21.142464693435951</v>
      </c>
      <c r="AA53" s="40">
        <f t="shared" si="81"/>
        <v>32.775974572424396</v>
      </c>
      <c r="AC53" s="16">
        <f t="shared" si="68"/>
        <v>0.17298163592151028</v>
      </c>
      <c r="AD53" s="26">
        <f t="shared" si="69"/>
        <v>5.7809604740571769</v>
      </c>
      <c r="AE53" s="51">
        <v>13</v>
      </c>
      <c r="AF53" s="85" t="str">
        <f t="shared" si="70"/>
        <v>NOEC</v>
      </c>
      <c r="AG53" s="9">
        <f t="shared" si="71"/>
        <v>1</v>
      </c>
      <c r="AH53" s="18">
        <f t="shared" si="72"/>
        <v>32.775974572424396</v>
      </c>
      <c r="AI53" s="88" t="str">
        <f t="shared" si="73"/>
        <v>Chronic</v>
      </c>
      <c r="AJ53" s="9">
        <f t="shared" si="74"/>
        <v>1</v>
      </c>
      <c r="AK53" s="18">
        <f t="shared" si="75"/>
        <v>32.775974572424396</v>
      </c>
      <c r="AL53" s="16"/>
      <c r="AM53" s="101" t="str">
        <f t="shared" si="76"/>
        <v>NOEC</v>
      </c>
      <c r="AN53" s="102" t="s">
        <v>356</v>
      </c>
      <c r="AO53" s="103" t="str">
        <f t="shared" si="77"/>
        <v>Chronic</v>
      </c>
      <c r="AP53" s="102" t="str">
        <f t="shared" si="82"/>
        <v>y</v>
      </c>
      <c r="AQ53" s="104" t="str">
        <f t="shared" si="78"/>
        <v>Mean total young/daphnid</v>
      </c>
      <c r="AR53" s="102" t="s">
        <v>459</v>
      </c>
      <c r="AS53" s="105">
        <f t="shared" si="79"/>
        <v>21</v>
      </c>
      <c r="AT53" s="102" t="s">
        <v>460</v>
      </c>
      <c r="AU53" s="102"/>
      <c r="AV53" s="147">
        <f t="shared" si="80"/>
        <v>32.775974572424396</v>
      </c>
      <c r="AW53" s="107">
        <f>GEOMEAN(AV53:AV53)</f>
        <v>32.775974572424396</v>
      </c>
      <c r="AX53" s="108">
        <f>MIN(AW53)</f>
        <v>32.775974572424396</v>
      </c>
      <c r="AY53" s="109"/>
    </row>
    <row r="54" spans="1:52" x14ac:dyDescent="0.2">
      <c r="A54" s="32" t="s">
        <v>87</v>
      </c>
      <c r="B54" s="33">
        <v>240</v>
      </c>
      <c r="C54" s="34" t="s">
        <v>24</v>
      </c>
      <c r="D54" s="35" t="s">
        <v>77</v>
      </c>
      <c r="E54" s="33" t="s">
        <v>61</v>
      </c>
      <c r="F54" s="33" t="s">
        <v>62</v>
      </c>
      <c r="G54" s="33" t="s">
        <v>52</v>
      </c>
      <c r="H54" s="33" t="s">
        <v>571</v>
      </c>
      <c r="I54" s="36" t="s">
        <v>78</v>
      </c>
      <c r="J54" s="36" t="s">
        <v>83</v>
      </c>
      <c r="K54" s="36" t="s">
        <v>88</v>
      </c>
      <c r="L54" s="36" t="s">
        <v>54</v>
      </c>
      <c r="M54" s="36">
        <v>21</v>
      </c>
      <c r="N54" s="33" t="s">
        <v>55</v>
      </c>
      <c r="O54" s="37" t="s">
        <v>33</v>
      </c>
      <c r="P54" s="38" t="s">
        <v>79</v>
      </c>
      <c r="Q54" s="33" t="s">
        <v>80</v>
      </c>
      <c r="R54" s="40">
        <v>19.8</v>
      </c>
      <c r="S54" s="33" t="s">
        <v>81</v>
      </c>
      <c r="T54" s="33">
        <v>8.4499999999999993</v>
      </c>
      <c r="U54" s="33">
        <v>9.9039999999999999</v>
      </c>
      <c r="V54" s="44" t="s">
        <v>37</v>
      </c>
      <c r="W54" s="44" t="s">
        <v>37</v>
      </c>
      <c r="X54" s="33">
        <v>420</v>
      </c>
      <c r="Y54" s="40">
        <f t="shared" si="66"/>
        <v>4.2407108239095308</v>
      </c>
      <c r="Z54" s="40">
        <f t="shared" si="67"/>
        <v>21.142464693435951</v>
      </c>
      <c r="AA54" s="40">
        <f t="shared" si="81"/>
        <v>32.775974572424396</v>
      </c>
      <c r="AC54" s="16">
        <f t="shared" si="68"/>
        <v>0.17298163592151028</v>
      </c>
      <c r="AD54" s="26">
        <f t="shared" si="69"/>
        <v>5.7809604740571769</v>
      </c>
      <c r="AE54" s="51">
        <v>13</v>
      </c>
      <c r="AF54" s="85" t="str">
        <f t="shared" si="70"/>
        <v>NOEC</v>
      </c>
      <c r="AG54" s="9">
        <f t="shared" si="71"/>
        <v>1</v>
      </c>
      <c r="AH54" s="18">
        <f t="shared" si="72"/>
        <v>32.775974572424396</v>
      </c>
      <c r="AI54" s="88" t="str">
        <f t="shared" si="73"/>
        <v>Chronic</v>
      </c>
      <c r="AJ54" s="9">
        <f t="shared" si="74"/>
        <v>1</v>
      </c>
      <c r="AK54" s="18">
        <f t="shared" si="75"/>
        <v>32.775974572424396</v>
      </c>
      <c r="AL54" s="16"/>
      <c r="AM54" s="132" t="str">
        <f t="shared" si="76"/>
        <v>NOEC</v>
      </c>
      <c r="AN54" s="67" t="s">
        <v>356</v>
      </c>
      <c r="AO54" s="88" t="str">
        <f t="shared" si="77"/>
        <v>Chronic</v>
      </c>
      <c r="AP54" s="67" t="str">
        <f t="shared" si="82"/>
        <v>y</v>
      </c>
      <c r="AQ54" s="69" t="str">
        <f t="shared" si="78"/>
        <v>Mean brood size/daphnid</v>
      </c>
      <c r="AR54" s="67" t="s">
        <v>475</v>
      </c>
      <c r="AS54" s="70">
        <f t="shared" si="79"/>
        <v>21</v>
      </c>
      <c r="AT54" s="67" t="s">
        <v>476</v>
      </c>
      <c r="AU54" s="67"/>
      <c r="AV54" s="82">
        <f t="shared" si="80"/>
        <v>32.775974572424396</v>
      </c>
      <c r="AW54" s="81">
        <f>GEOMEAN(AV54:AV54)</f>
        <v>32.775974572424396</v>
      </c>
      <c r="AX54" s="78">
        <f>MIN(AW54)</f>
        <v>32.775974572424396</v>
      </c>
      <c r="AY54" s="133"/>
    </row>
    <row r="55" spans="1:52" x14ac:dyDescent="0.2">
      <c r="A55" s="32" t="s">
        <v>89</v>
      </c>
      <c r="B55" s="33">
        <v>240</v>
      </c>
      <c r="C55" s="34" t="s">
        <v>24</v>
      </c>
      <c r="D55" s="35" t="s">
        <v>77</v>
      </c>
      <c r="E55" s="33" t="s">
        <v>61</v>
      </c>
      <c r="F55" s="33" t="s">
        <v>62</v>
      </c>
      <c r="G55" s="33" t="s">
        <v>52</v>
      </c>
      <c r="H55" s="33" t="s">
        <v>571</v>
      </c>
      <c r="I55" s="36" t="s">
        <v>78</v>
      </c>
      <c r="J55" s="36" t="s">
        <v>53</v>
      </c>
      <c r="K55" s="36" t="s">
        <v>53</v>
      </c>
      <c r="L55" s="36" t="s">
        <v>54</v>
      </c>
      <c r="M55" s="36">
        <v>21</v>
      </c>
      <c r="N55" s="33" t="s">
        <v>55</v>
      </c>
      <c r="O55" s="37" t="s">
        <v>33</v>
      </c>
      <c r="P55" s="38" t="s">
        <v>79</v>
      </c>
      <c r="Q55" s="33" t="s">
        <v>80</v>
      </c>
      <c r="R55" s="40">
        <v>19.8</v>
      </c>
      <c r="S55" s="33" t="s">
        <v>81</v>
      </c>
      <c r="T55" s="33">
        <v>8.4499999999999993</v>
      </c>
      <c r="U55" s="33">
        <v>9.9039999999999999</v>
      </c>
      <c r="V55" s="44" t="s">
        <v>37</v>
      </c>
      <c r="W55" s="44" t="s">
        <v>37</v>
      </c>
      <c r="X55" s="33">
        <v>420</v>
      </c>
      <c r="Y55" s="40">
        <f t="shared" si="66"/>
        <v>4.2407108239095308</v>
      </c>
      <c r="Z55" s="40">
        <f t="shared" si="67"/>
        <v>21.142464693435951</v>
      </c>
      <c r="AA55" s="40">
        <f t="shared" si="81"/>
        <v>32.775974572424396</v>
      </c>
      <c r="AC55" s="16">
        <f t="shared" si="68"/>
        <v>0.17298163592151028</v>
      </c>
      <c r="AD55" s="26">
        <f t="shared" si="69"/>
        <v>5.7809604740571769</v>
      </c>
      <c r="AE55" s="51">
        <v>13</v>
      </c>
      <c r="AF55" s="85" t="str">
        <f t="shared" si="70"/>
        <v>NOEC</v>
      </c>
      <c r="AG55" s="9">
        <f t="shared" si="71"/>
        <v>1</v>
      </c>
      <c r="AH55" s="18">
        <f t="shared" si="72"/>
        <v>32.775974572424396</v>
      </c>
      <c r="AI55" s="88" t="str">
        <f t="shared" si="73"/>
        <v>Chronic</v>
      </c>
      <c r="AJ55" s="9">
        <f t="shared" si="74"/>
        <v>1</v>
      </c>
      <c r="AK55" s="18">
        <f t="shared" si="75"/>
        <v>32.775974572424396</v>
      </c>
      <c r="AL55" s="16"/>
      <c r="AM55" s="110" t="str">
        <f t="shared" si="76"/>
        <v>NOEC</v>
      </c>
      <c r="AN55" s="111" t="s">
        <v>356</v>
      </c>
      <c r="AO55" s="112" t="str">
        <f t="shared" si="77"/>
        <v>Chronic</v>
      </c>
      <c r="AP55" s="111" t="str">
        <f t="shared" si="82"/>
        <v>y</v>
      </c>
      <c r="AQ55" s="134" t="str">
        <f t="shared" si="78"/>
        <v>Mortality</v>
      </c>
      <c r="AR55" s="111" t="s">
        <v>55</v>
      </c>
      <c r="AS55" s="114">
        <f t="shared" si="79"/>
        <v>21</v>
      </c>
      <c r="AT55" s="111" t="s">
        <v>477</v>
      </c>
      <c r="AU55" s="111"/>
      <c r="AV55" s="138">
        <f t="shared" si="80"/>
        <v>32.775974572424396</v>
      </c>
      <c r="AW55" s="135">
        <f>GEOMEAN(AV55:AV55)</f>
        <v>32.775974572424396</v>
      </c>
      <c r="AX55" s="136">
        <f>MIN(AW55)</f>
        <v>32.775974572424396</v>
      </c>
      <c r="AY55" s="137">
        <f>MIN(AX53:AX55)</f>
        <v>32.775974572424396</v>
      </c>
    </row>
    <row r="56" spans="1:52" x14ac:dyDescent="0.2">
      <c r="A56" s="19" t="s">
        <v>90</v>
      </c>
      <c r="B56" s="23">
        <v>231</v>
      </c>
      <c r="C56" s="10" t="s">
        <v>24</v>
      </c>
      <c r="D56" s="11" t="s">
        <v>91</v>
      </c>
      <c r="E56" s="9" t="s">
        <v>61</v>
      </c>
      <c r="F56" s="9" t="s">
        <v>92</v>
      </c>
      <c r="G56" s="9" t="s">
        <v>93</v>
      </c>
      <c r="H56" s="9" t="s">
        <v>571</v>
      </c>
      <c r="I56" s="9" t="s">
        <v>94</v>
      </c>
      <c r="J56" s="12" t="s">
        <v>53</v>
      </c>
      <c r="K56" s="12" t="s">
        <v>95</v>
      </c>
      <c r="L56" s="12" t="s">
        <v>54</v>
      </c>
      <c r="M56" s="9">
        <v>29</v>
      </c>
      <c r="N56" s="9" t="s">
        <v>55</v>
      </c>
      <c r="O56" s="9" t="s">
        <v>33</v>
      </c>
      <c r="P56" s="14" t="s">
        <v>96</v>
      </c>
      <c r="Q56" s="23">
        <v>15.8</v>
      </c>
      <c r="R56" s="94">
        <v>15.8</v>
      </c>
      <c r="S56" s="9">
        <v>8.3699999999999992</v>
      </c>
      <c r="T56" s="9">
        <v>8.3699999999999992</v>
      </c>
      <c r="U56" s="9">
        <v>6.3609999999999998</v>
      </c>
      <c r="V56" s="9">
        <v>0.94899999999999995</v>
      </c>
      <c r="W56" s="9">
        <v>66</v>
      </c>
      <c r="X56" s="9">
        <v>66</v>
      </c>
      <c r="Y56" s="9">
        <v>0.94899999999999995</v>
      </c>
      <c r="Z56" s="15">
        <f t="shared" si="67"/>
        <v>4.1349303568432507</v>
      </c>
      <c r="AA56" s="15">
        <f t="shared" si="81"/>
        <v>4.952998532222753</v>
      </c>
      <c r="AC56" s="16">
        <f t="shared" si="68"/>
        <v>0.20796966871036979</v>
      </c>
      <c r="AD56" s="26">
        <f t="shared" si="69"/>
        <v>4.8083934844972802</v>
      </c>
      <c r="AE56" s="51">
        <v>13</v>
      </c>
      <c r="AF56" s="85" t="str">
        <f t="shared" si="70"/>
        <v>NOEC</v>
      </c>
      <c r="AG56" s="9">
        <f t="shared" si="71"/>
        <v>1</v>
      </c>
      <c r="AH56" s="18">
        <f t="shared" si="72"/>
        <v>4.952998532222753</v>
      </c>
      <c r="AI56" s="88" t="str">
        <f t="shared" si="73"/>
        <v>Chronic</v>
      </c>
      <c r="AJ56" s="9">
        <f t="shared" si="74"/>
        <v>1</v>
      </c>
      <c r="AK56" s="18">
        <f t="shared" si="75"/>
        <v>4.952998532222753</v>
      </c>
      <c r="AL56" s="16"/>
      <c r="AM56" s="127" t="str">
        <f t="shared" si="76"/>
        <v>NOEC</v>
      </c>
      <c r="AN56" s="128" t="s">
        <v>356</v>
      </c>
      <c r="AO56" s="129" t="str">
        <f t="shared" si="77"/>
        <v>Chronic</v>
      </c>
      <c r="AP56" s="128" t="str">
        <f t="shared" si="82"/>
        <v>y</v>
      </c>
      <c r="AQ56" s="130" t="str">
        <f t="shared" si="78"/>
        <v>Mortality (of juvenile Deleatidium sp.)</v>
      </c>
      <c r="AR56" s="128" t="s">
        <v>459</v>
      </c>
      <c r="AS56" s="131">
        <f t="shared" si="79"/>
        <v>29</v>
      </c>
      <c r="AT56" s="128" t="s">
        <v>460</v>
      </c>
      <c r="AU56" s="128"/>
      <c r="AV56" s="143">
        <f t="shared" si="80"/>
        <v>4.952998532222753</v>
      </c>
      <c r="AW56" s="144">
        <f t="shared" ref="AW56:AW57" si="83">GEOMEAN(AV56:AV56)</f>
        <v>4.952998532222753</v>
      </c>
      <c r="AX56" s="141">
        <f>MIN(AW56)</f>
        <v>4.952998532222753</v>
      </c>
      <c r="AY56" s="142">
        <f>MIN(AX56:AX56)</f>
        <v>4.952998532222753</v>
      </c>
    </row>
    <row r="57" spans="1:52" x14ac:dyDescent="0.2">
      <c r="A57" s="32" t="s">
        <v>97</v>
      </c>
      <c r="B57" s="44">
        <v>221</v>
      </c>
      <c r="C57" s="34" t="s">
        <v>24</v>
      </c>
      <c r="D57" s="35" t="s">
        <v>98</v>
      </c>
      <c r="E57" s="33" t="s">
        <v>61</v>
      </c>
      <c r="F57" s="33" t="s">
        <v>99</v>
      </c>
      <c r="G57" s="33" t="s">
        <v>93</v>
      </c>
      <c r="H57" s="33" t="s">
        <v>571</v>
      </c>
      <c r="I57" s="36" t="s">
        <v>100</v>
      </c>
      <c r="J57" s="36" t="s">
        <v>64</v>
      </c>
      <c r="K57" s="44" t="s">
        <v>101</v>
      </c>
      <c r="L57" s="36" t="s">
        <v>54</v>
      </c>
      <c r="M57" s="36">
        <v>10</v>
      </c>
      <c r="N57" s="33" t="s">
        <v>102</v>
      </c>
      <c r="O57" s="33" t="s">
        <v>33</v>
      </c>
      <c r="P57" s="45" t="s">
        <v>103</v>
      </c>
      <c r="Q57" s="44">
        <v>25</v>
      </c>
      <c r="R57" s="44">
        <v>25</v>
      </c>
      <c r="S57" s="33" t="s">
        <v>104</v>
      </c>
      <c r="T57" s="33">
        <v>8.0399999999999991</v>
      </c>
      <c r="U57" s="46">
        <v>5.8536524151080886</v>
      </c>
      <c r="V57" s="33">
        <v>2.5</v>
      </c>
      <c r="W57" s="33" t="s">
        <v>37</v>
      </c>
      <c r="X57" s="39">
        <f t="shared" ref="X57" si="84">(V57)*(U57/100)*1000</f>
        <v>146.3413103777022</v>
      </c>
      <c r="Y57" s="33">
        <v>2.5</v>
      </c>
      <c r="Z57" s="40">
        <f t="shared" si="67"/>
        <v>6.4367096033276967</v>
      </c>
      <c r="AA57" s="40">
        <f t="shared" si="81"/>
        <v>13.952881828665799</v>
      </c>
      <c r="AC57" s="16">
        <f t="shared" si="68"/>
        <v>0.4446312674691093</v>
      </c>
      <c r="AD57" s="26">
        <f t="shared" si="69"/>
        <v>2.2490546058357781</v>
      </c>
      <c r="AE57" s="51">
        <v>13</v>
      </c>
      <c r="AF57" s="85" t="str">
        <f t="shared" si="70"/>
        <v>NOEC</v>
      </c>
      <c r="AG57" s="9">
        <f t="shared" si="71"/>
        <v>1</v>
      </c>
      <c r="AH57" s="18">
        <f t="shared" si="72"/>
        <v>13.952881828665799</v>
      </c>
      <c r="AI57" s="88" t="str">
        <f t="shared" si="73"/>
        <v>Chronic</v>
      </c>
      <c r="AJ57" s="9">
        <f t="shared" si="74"/>
        <v>1</v>
      </c>
      <c r="AK57" s="18">
        <f t="shared" si="75"/>
        <v>13.952881828665799</v>
      </c>
      <c r="AL57" s="16"/>
      <c r="AM57" s="101" t="str">
        <f t="shared" si="76"/>
        <v>NOEC</v>
      </c>
      <c r="AN57" s="102" t="s">
        <v>356</v>
      </c>
      <c r="AO57" s="103" t="str">
        <f t="shared" si="77"/>
        <v>Chronic</v>
      </c>
      <c r="AP57" s="102" t="str">
        <f t="shared" si="82"/>
        <v>y</v>
      </c>
      <c r="AQ57" s="104" t="str">
        <f t="shared" si="78"/>
        <v>Reproduction (average young per replicate)</v>
      </c>
      <c r="AR57" s="102" t="s">
        <v>459</v>
      </c>
      <c r="AS57" s="105">
        <f t="shared" si="79"/>
        <v>10</v>
      </c>
      <c r="AT57" s="102" t="s">
        <v>460</v>
      </c>
      <c r="AU57" s="102"/>
      <c r="AV57" s="106">
        <f t="shared" si="80"/>
        <v>13.952881828665799</v>
      </c>
      <c r="AW57" s="107">
        <f t="shared" si="83"/>
        <v>13.952881828665799</v>
      </c>
      <c r="AX57" s="78">
        <f>MIN(AW57:AW57)</f>
        <v>13.952881828665799</v>
      </c>
      <c r="AY57" s="109">
        <f>MIN(AX57:AX57)</f>
        <v>13.952881828665799</v>
      </c>
    </row>
    <row r="58" spans="1:52" x14ac:dyDescent="0.2">
      <c r="A58" s="19" t="s">
        <v>119</v>
      </c>
      <c r="B58" s="9">
        <v>235</v>
      </c>
      <c r="C58" s="10" t="s">
        <v>24</v>
      </c>
      <c r="D58" s="11" t="s">
        <v>120</v>
      </c>
      <c r="E58" s="9" t="s">
        <v>121</v>
      </c>
      <c r="F58" s="9" t="s">
        <v>122</v>
      </c>
      <c r="G58" s="9" t="s">
        <v>52</v>
      </c>
      <c r="H58" s="9" t="s">
        <v>571</v>
      </c>
      <c r="I58" s="12" t="s">
        <v>37</v>
      </c>
      <c r="J58" s="12" t="s">
        <v>123</v>
      </c>
      <c r="K58" s="12" t="s">
        <v>123</v>
      </c>
      <c r="L58" s="12" t="s">
        <v>54</v>
      </c>
      <c r="M58" s="12">
        <v>40</v>
      </c>
      <c r="N58" s="9" t="s">
        <v>55</v>
      </c>
      <c r="O58" s="13" t="s">
        <v>33</v>
      </c>
      <c r="P58" s="14" t="s">
        <v>56</v>
      </c>
      <c r="Q58" s="9" t="s">
        <v>438</v>
      </c>
      <c r="R58" s="9">
        <v>15.3</v>
      </c>
      <c r="S58" s="9" t="s">
        <v>124</v>
      </c>
      <c r="T58" s="9">
        <v>8.1</v>
      </c>
      <c r="U58" s="9">
        <v>3.3940000000000001</v>
      </c>
      <c r="V58" s="18">
        <v>2.1</v>
      </c>
      <c r="W58" s="9">
        <v>70</v>
      </c>
      <c r="X58" s="9">
        <v>70</v>
      </c>
      <c r="Y58" s="18">
        <v>2.1</v>
      </c>
      <c r="Z58" s="15">
        <f t="shared" si="67"/>
        <v>5.9178920071141139</v>
      </c>
      <c r="AA58" s="15">
        <f t="shared" si="81"/>
        <v>6.8638381721815902</v>
      </c>
      <c r="AC58" s="16">
        <f t="shared" si="68"/>
        <v>0.38725764492161724</v>
      </c>
      <c r="AD58" s="26">
        <f t="shared" si="69"/>
        <v>2.5822601906345959</v>
      </c>
      <c r="AE58" s="51">
        <v>13</v>
      </c>
      <c r="AF58" s="85" t="str">
        <f t="shared" si="70"/>
        <v>NOEC</v>
      </c>
      <c r="AG58" s="9">
        <f t="shared" si="71"/>
        <v>1</v>
      </c>
      <c r="AH58" s="18">
        <f t="shared" si="72"/>
        <v>6.8638381721815902</v>
      </c>
      <c r="AI58" s="88" t="str">
        <f t="shared" si="73"/>
        <v>Chronic</v>
      </c>
      <c r="AJ58" s="9">
        <f t="shared" si="74"/>
        <v>1</v>
      </c>
      <c r="AK58" s="18">
        <f t="shared" si="75"/>
        <v>6.8638381721815902</v>
      </c>
      <c r="AL58" s="16"/>
      <c r="AM58" s="127" t="str">
        <f t="shared" si="76"/>
        <v>NOEC</v>
      </c>
      <c r="AN58" s="128" t="s">
        <v>356</v>
      </c>
      <c r="AO58" s="129" t="str">
        <f t="shared" si="77"/>
        <v>Chronic</v>
      </c>
      <c r="AP58" s="128" t="str">
        <f t="shared" si="82"/>
        <v>y</v>
      </c>
      <c r="AQ58" s="130" t="str">
        <f t="shared" si="78"/>
        <v>Immobility</v>
      </c>
      <c r="AR58" s="128" t="s">
        <v>459</v>
      </c>
      <c r="AS58" s="131">
        <f t="shared" si="79"/>
        <v>40</v>
      </c>
      <c r="AT58" s="128" t="s">
        <v>460</v>
      </c>
      <c r="AU58" s="128"/>
      <c r="AV58" s="143">
        <f>AK58</f>
        <v>6.8638381721815902</v>
      </c>
      <c r="AW58" s="144">
        <f>GEOMEAN(AV58:AV58)</f>
        <v>6.8638381721815902</v>
      </c>
      <c r="AX58" s="148">
        <f>MIN(AW58)</f>
        <v>6.8638381721815902</v>
      </c>
      <c r="AY58" s="149">
        <f>MIN(AX58)</f>
        <v>6.8638381721815902</v>
      </c>
    </row>
    <row r="59" spans="1:52" x14ac:dyDescent="0.2">
      <c r="A59" s="32" t="s">
        <v>132</v>
      </c>
      <c r="B59" s="33">
        <v>254</v>
      </c>
      <c r="C59" s="34" t="s">
        <v>24</v>
      </c>
      <c r="D59" s="35" t="s">
        <v>126</v>
      </c>
      <c r="E59" s="33" t="s">
        <v>121</v>
      </c>
      <c r="F59" s="33" t="s">
        <v>127</v>
      </c>
      <c r="G59" s="33" t="s">
        <v>52</v>
      </c>
      <c r="H59" s="33" t="s">
        <v>571</v>
      </c>
      <c r="I59" s="36" t="s">
        <v>128</v>
      </c>
      <c r="J59" s="36" t="s">
        <v>53</v>
      </c>
      <c r="K59" s="36" t="s">
        <v>53</v>
      </c>
      <c r="L59" s="36" t="s">
        <v>133</v>
      </c>
      <c r="M59" s="36">
        <v>28</v>
      </c>
      <c r="N59" s="33" t="s">
        <v>55</v>
      </c>
      <c r="O59" s="37" t="s">
        <v>33</v>
      </c>
      <c r="P59" s="38" t="s">
        <v>129</v>
      </c>
      <c r="Q59" s="33" t="s">
        <v>130</v>
      </c>
      <c r="R59" s="33">
        <v>20</v>
      </c>
      <c r="S59" s="33" t="s">
        <v>131</v>
      </c>
      <c r="T59" s="33">
        <v>8.1999999999999993</v>
      </c>
      <c r="U59" s="33">
        <v>5.9020000000000001</v>
      </c>
      <c r="V59" s="33" t="s">
        <v>134</v>
      </c>
      <c r="W59" s="33" t="s">
        <v>37</v>
      </c>
      <c r="X59" s="33">
        <v>7.67</v>
      </c>
      <c r="Y59" s="33">
        <v>0.13</v>
      </c>
      <c r="Z59" s="40">
        <f t="shared" si="67"/>
        <v>0.4284575216169903</v>
      </c>
      <c r="AA59" s="40">
        <f t="shared" si="81"/>
        <v>0.67283375518426047</v>
      </c>
      <c r="AB59" t="s">
        <v>577</v>
      </c>
      <c r="AC59" s="16">
        <f t="shared" si="68"/>
        <v>0.30760968147407108</v>
      </c>
      <c r="AD59" s="26">
        <f t="shared" si="69"/>
        <v>3.2508729738543409</v>
      </c>
      <c r="AE59" s="51">
        <v>13</v>
      </c>
      <c r="AF59" s="85" t="str">
        <f t="shared" si="70"/>
        <v>IC10</v>
      </c>
      <c r="AG59" s="9">
        <f t="shared" si="71"/>
        <v>1</v>
      </c>
      <c r="AH59" s="18">
        <f t="shared" si="72"/>
        <v>0.67283375518426047</v>
      </c>
      <c r="AI59" s="88" t="str">
        <f t="shared" si="73"/>
        <v>Chronic</v>
      </c>
      <c r="AJ59" s="9">
        <f t="shared" si="74"/>
        <v>1</v>
      </c>
      <c r="AK59" s="18">
        <f t="shared" si="75"/>
        <v>0.67283375518426047</v>
      </c>
      <c r="AL59" s="16"/>
      <c r="AM59" s="132" t="str">
        <f t="shared" si="76"/>
        <v>IC10</v>
      </c>
      <c r="AN59" s="67" t="s">
        <v>356</v>
      </c>
      <c r="AO59" s="88" t="str">
        <f t="shared" si="77"/>
        <v>Chronic</v>
      </c>
      <c r="AP59" s="67" t="str">
        <f t="shared" si="82"/>
        <v>y</v>
      </c>
      <c r="AQ59" s="69" t="str">
        <f t="shared" si="78"/>
        <v>Mortality</v>
      </c>
      <c r="AR59" s="67" t="s">
        <v>459</v>
      </c>
      <c r="AS59" s="70">
        <f t="shared" si="79"/>
        <v>28</v>
      </c>
      <c r="AT59" s="67" t="s">
        <v>460</v>
      </c>
      <c r="AU59" s="67"/>
      <c r="AV59" s="151">
        <f>AK59</f>
        <v>0.67283375518426047</v>
      </c>
      <c r="AW59" s="95">
        <f>GEOMEAN(AV59:AV59)</f>
        <v>0.67283375518426047</v>
      </c>
      <c r="AX59" s="96">
        <f>MIN(AW59)</f>
        <v>0.67283375518426047</v>
      </c>
      <c r="AY59" s="153">
        <f>MIN(AX59)</f>
        <v>0.67283375518426047</v>
      </c>
    </row>
    <row r="60" spans="1:52" x14ac:dyDescent="0.2">
      <c r="A60" s="19" t="s">
        <v>144</v>
      </c>
      <c r="B60" s="9">
        <v>253</v>
      </c>
      <c r="C60" s="10" t="s">
        <v>24</v>
      </c>
      <c r="D60" s="11" t="s">
        <v>139</v>
      </c>
      <c r="E60" s="9" t="s">
        <v>121</v>
      </c>
      <c r="F60" s="9" t="s">
        <v>127</v>
      </c>
      <c r="G60" s="9" t="s">
        <v>52</v>
      </c>
      <c r="H60" s="9" t="s">
        <v>571</v>
      </c>
      <c r="I60" s="12" t="s">
        <v>140</v>
      </c>
      <c r="J60" s="12" t="s">
        <v>53</v>
      </c>
      <c r="K60" s="12" t="s">
        <v>53</v>
      </c>
      <c r="L60" s="12" t="s">
        <v>31</v>
      </c>
      <c r="M60" s="12">
        <v>28</v>
      </c>
      <c r="N60" s="9" t="s">
        <v>55</v>
      </c>
      <c r="O60" s="13" t="s">
        <v>33</v>
      </c>
      <c r="P60" s="14" t="s">
        <v>141</v>
      </c>
      <c r="Q60" s="9">
        <v>20</v>
      </c>
      <c r="R60" s="9">
        <v>20</v>
      </c>
      <c r="S60" s="9" t="s">
        <v>142</v>
      </c>
      <c r="T60" s="9">
        <v>8.26</v>
      </c>
      <c r="U60" s="9">
        <v>6.718</v>
      </c>
      <c r="V60" s="9">
        <v>0.54</v>
      </c>
      <c r="W60" s="9" t="s">
        <v>37</v>
      </c>
      <c r="X60" s="9">
        <v>36.299999999999997</v>
      </c>
      <c r="Y60" s="9">
        <v>0.54</v>
      </c>
      <c r="Z60" s="15">
        <f t="shared" si="67"/>
        <v>1.9610361754850452</v>
      </c>
      <c r="AA60" s="15">
        <f t="shared" si="81"/>
        <v>3.0795382679342405</v>
      </c>
      <c r="AC60" s="16">
        <f t="shared" si="68"/>
        <v>0.26791683248190312</v>
      </c>
      <c r="AD60" s="26">
        <f t="shared" si="69"/>
        <v>3.7325015779572066</v>
      </c>
      <c r="AE60" s="51">
        <v>13</v>
      </c>
      <c r="AF60" s="85" t="str">
        <f t="shared" si="70"/>
        <v>EC10</v>
      </c>
      <c r="AG60" s="9">
        <f t="shared" si="71"/>
        <v>1</v>
      </c>
      <c r="AH60" s="18">
        <f t="shared" si="72"/>
        <v>3.0795382679342405</v>
      </c>
      <c r="AI60" s="88" t="str">
        <f t="shared" si="73"/>
        <v>Chronic</v>
      </c>
      <c r="AJ60" s="9">
        <f t="shared" si="74"/>
        <v>1</v>
      </c>
      <c r="AK60" s="18">
        <f t="shared" si="75"/>
        <v>3.0795382679342405</v>
      </c>
      <c r="AM60" s="101" t="str">
        <f t="shared" si="76"/>
        <v>EC10</v>
      </c>
      <c r="AN60" s="102" t="s">
        <v>356</v>
      </c>
      <c r="AO60" s="103" t="str">
        <f t="shared" si="77"/>
        <v>Chronic</v>
      </c>
      <c r="AP60" s="102" t="str">
        <f t="shared" si="82"/>
        <v>y</v>
      </c>
      <c r="AQ60" s="104" t="str">
        <f t="shared" si="78"/>
        <v>Mortality</v>
      </c>
      <c r="AR60" s="196" t="s">
        <v>459</v>
      </c>
      <c r="AS60" s="105">
        <f t="shared" si="79"/>
        <v>28</v>
      </c>
      <c r="AT60" s="158" t="s">
        <v>460</v>
      </c>
      <c r="AU60" s="197"/>
      <c r="AV60" s="154">
        <f t="shared" ref="AV60:AV63" si="85">AK60</f>
        <v>3.0795382679342405</v>
      </c>
      <c r="AW60" s="155"/>
      <c r="AX60" s="197"/>
      <c r="AY60" s="198"/>
    </row>
    <row r="61" spans="1:52" x14ac:dyDescent="0.2">
      <c r="A61" s="19" t="s">
        <v>146</v>
      </c>
      <c r="B61" s="9">
        <v>254</v>
      </c>
      <c r="C61" s="10" t="s">
        <v>24</v>
      </c>
      <c r="D61" s="11" t="s">
        <v>139</v>
      </c>
      <c r="E61" s="9" t="s">
        <v>121</v>
      </c>
      <c r="F61" s="9" t="s">
        <v>127</v>
      </c>
      <c r="G61" s="9" t="s">
        <v>52</v>
      </c>
      <c r="H61" s="9" t="s">
        <v>571</v>
      </c>
      <c r="I61" s="12" t="s">
        <v>140</v>
      </c>
      <c r="J61" s="12" t="s">
        <v>53</v>
      </c>
      <c r="K61" s="12" t="s">
        <v>53</v>
      </c>
      <c r="L61" s="12" t="s">
        <v>133</v>
      </c>
      <c r="M61" s="12">
        <v>28</v>
      </c>
      <c r="N61" s="9" t="s">
        <v>55</v>
      </c>
      <c r="O61" s="13" t="s">
        <v>33</v>
      </c>
      <c r="P61" s="14" t="s">
        <v>129</v>
      </c>
      <c r="Q61" s="9" t="s">
        <v>130</v>
      </c>
      <c r="R61" s="9">
        <v>20</v>
      </c>
      <c r="S61" s="9" t="s">
        <v>131</v>
      </c>
      <c r="T61" s="9">
        <v>8.1999999999999993</v>
      </c>
      <c r="U61" s="9">
        <v>5.9020000000000001</v>
      </c>
      <c r="V61" s="9" t="s">
        <v>134</v>
      </c>
      <c r="W61" s="9" t="s">
        <v>37</v>
      </c>
      <c r="X61" s="9">
        <v>7.67</v>
      </c>
      <c r="Y61" s="9">
        <v>0.13</v>
      </c>
      <c r="Z61" s="15">
        <f t="shared" si="67"/>
        <v>0.4284575216169903</v>
      </c>
      <c r="AA61" s="15">
        <f t="shared" si="81"/>
        <v>0.67283375518426047</v>
      </c>
      <c r="AB61" t="s">
        <v>577</v>
      </c>
      <c r="AC61" s="16">
        <f t="shared" si="68"/>
        <v>0.30760968147407108</v>
      </c>
      <c r="AD61" s="26">
        <f t="shared" si="69"/>
        <v>3.2508729738543409</v>
      </c>
      <c r="AE61" s="51">
        <v>13</v>
      </c>
      <c r="AF61" s="85" t="str">
        <f t="shared" si="70"/>
        <v>IC10</v>
      </c>
      <c r="AG61" s="9">
        <f t="shared" si="71"/>
        <v>1</v>
      </c>
      <c r="AH61" s="18">
        <f t="shared" si="72"/>
        <v>0.67283375518426047</v>
      </c>
      <c r="AI61" s="88" t="str">
        <f t="shared" si="73"/>
        <v>Chronic</v>
      </c>
      <c r="AJ61" s="9">
        <f t="shared" si="74"/>
        <v>1</v>
      </c>
      <c r="AK61" s="18">
        <f t="shared" si="75"/>
        <v>0.67283375518426047</v>
      </c>
      <c r="AL61" s="16"/>
      <c r="AM61" s="110" t="str">
        <f t="shared" si="76"/>
        <v>IC10</v>
      </c>
      <c r="AN61" s="111" t="s">
        <v>356</v>
      </c>
      <c r="AO61" s="112" t="str">
        <f t="shared" si="77"/>
        <v>Chronic</v>
      </c>
      <c r="AP61" s="111" t="str">
        <f t="shared" si="82"/>
        <v>y</v>
      </c>
      <c r="AQ61" s="134" t="str">
        <f t="shared" si="78"/>
        <v>Mortality</v>
      </c>
      <c r="AR61" s="199" t="s">
        <v>459</v>
      </c>
      <c r="AS61" s="114">
        <f t="shared" si="79"/>
        <v>28</v>
      </c>
      <c r="AT61" s="199" t="s">
        <v>460</v>
      </c>
      <c r="AU61" s="200"/>
      <c r="AV61" s="152">
        <f t="shared" si="85"/>
        <v>0.67283375518426047</v>
      </c>
      <c r="AW61" s="140">
        <f>GEOMEAN(AV60:AV61)</f>
        <v>1.4394503454610126</v>
      </c>
      <c r="AX61" s="141">
        <f>MIN(AW61)</f>
        <v>1.4394503454610126</v>
      </c>
      <c r="AY61" s="142">
        <f>MIN(AX61:AX61)</f>
        <v>1.4394503454610126</v>
      </c>
    </row>
    <row r="62" spans="1:52" x14ac:dyDescent="0.2">
      <c r="A62" s="32" t="s">
        <v>148</v>
      </c>
      <c r="B62" s="33">
        <v>256</v>
      </c>
      <c r="C62" s="38" t="s">
        <v>24</v>
      </c>
      <c r="D62" s="35" t="s">
        <v>149</v>
      </c>
      <c r="E62" s="33" t="s">
        <v>121</v>
      </c>
      <c r="F62" s="33" t="s">
        <v>127</v>
      </c>
      <c r="G62" s="33" t="s">
        <v>52</v>
      </c>
      <c r="H62" s="33" t="s">
        <v>571</v>
      </c>
      <c r="I62" s="33" t="s">
        <v>37</v>
      </c>
      <c r="J62" s="36" t="s">
        <v>53</v>
      </c>
      <c r="K62" s="36" t="s">
        <v>53</v>
      </c>
      <c r="L62" s="36" t="s">
        <v>54</v>
      </c>
      <c r="M62" s="36">
        <v>6</v>
      </c>
      <c r="N62" s="33" t="s">
        <v>102</v>
      </c>
      <c r="O62" s="37" t="s">
        <v>33</v>
      </c>
      <c r="P62" s="38" t="s">
        <v>150</v>
      </c>
      <c r="Q62" s="33" t="s">
        <v>151</v>
      </c>
      <c r="R62" s="33">
        <v>21.8</v>
      </c>
      <c r="S62" s="33" t="s">
        <v>152</v>
      </c>
      <c r="T62" s="33">
        <v>7.8</v>
      </c>
      <c r="U62" s="33">
        <v>2.7679999999999998</v>
      </c>
      <c r="V62" s="33" t="s">
        <v>37</v>
      </c>
      <c r="W62" s="33">
        <v>30</v>
      </c>
      <c r="X62" s="33">
        <v>30</v>
      </c>
      <c r="Y62" s="40">
        <f t="shared" ref="Y62" si="86">X62/((U62/100)*1000)</f>
        <v>1.0838150289017343</v>
      </c>
      <c r="Z62" s="40">
        <f t="shared" si="67"/>
        <v>2.0127302212112239</v>
      </c>
      <c r="AA62" s="40">
        <f t="shared" si="81"/>
        <v>3.5496502812635464</v>
      </c>
      <c r="AB62" s="16"/>
      <c r="AC62" s="16">
        <f t="shared" si="68"/>
        <v>0.77268058509570214</v>
      </c>
      <c r="AD62" s="26">
        <f t="shared" si="69"/>
        <v>1.2941958414499863</v>
      </c>
      <c r="AE62" s="51">
        <v>13</v>
      </c>
      <c r="AF62" s="85" t="str">
        <f t="shared" si="70"/>
        <v>NOEC</v>
      </c>
      <c r="AG62" s="9">
        <f t="shared" si="71"/>
        <v>1</v>
      </c>
      <c r="AH62" s="18">
        <f t="shared" si="72"/>
        <v>3.5496502812635464</v>
      </c>
      <c r="AI62" s="88" t="str">
        <f t="shared" si="73"/>
        <v>Chronic</v>
      </c>
      <c r="AJ62" s="9">
        <f t="shared" si="74"/>
        <v>1</v>
      </c>
      <c r="AK62" s="18">
        <f t="shared" si="75"/>
        <v>3.5496502812635464</v>
      </c>
      <c r="AL62" s="16"/>
      <c r="AM62" s="101" t="str">
        <f t="shared" si="76"/>
        <v>NOEC</v>
      </c>
      <c r="AN62" s="102" t="s">
        <v>356</v>
      </c>
      <c r="AO62" s="103" t="str">
        <f t="shared" si="77"/>
        <v>Chronic</v>
      </c>
      <c r="AP62" s="102" t="str">
        <f t="shared" si="82"/>
        <v>y</v>
      </c>
      <c r="AQ62" s="104" t="str">
        <f t="shared" si="78"/>
        <v>Mortality</v>
      </c>
      <c r="AR62" s="102" t="s">
        <v>459</v>
      </c>
      <c r="AS62" s="105">
        <f t="shared" si="79"/>
        <v>6</v>
      </c>
      <c r="AT62" s="102" t="s">
        <v>460</v>
      </c>
      <c r="AU62" s="102"/>
      <c r="AV62" s="154">
        <f t="shared" si="85"/>
        <v>3.5496502812635464</v>
      </c>
      <c r="AW62" s="118">
        <f>GEOMEAN(AV62)</f>
        <v>3.5496502812635464</v>
      </c>
      <c r="AX62" s="119">
        <f>MIN(AW62:AW62)</f>
        <v>3.5496502812635464</v>
      </c>
      <c r="AY62" s="126">
        <f>MIN(AX62)</f>
        <v>3.5496502812635464</v>
      </c>
    </row>
    <row r="63" spans="1:52" x14ac:dyDescent="0.2">
      <c r="A63" s="8" t="s">
        <v>168</v>
      </c>
      <c r="B63" s="9">
        <v>242</v>
      </c>
      <c r="C63" s="10" t="s">
        <v>24</v>
      </c>
      <c r="D63" s="11" t="s">
        <v>155</v>
      </c>
      <c r="E63" s="9" t="s">
        <v>121</v>
      </c>
      <c r="F63" s="9" t="s">
        <v>127</v>
      </c>
      <c r="G63" s="9" t="s">
        <v>52</v>
      </c>
      <c r="H63" s="9" t="s">
        <v>571</v>
      </c>
      <c r="I63" s="12" t="s">
        <v>156</v>
      </c>
      <c r="J63" s="12" t="s">
        <v>136</v>
      </c>
      <c r="K63" s="12" t="s">
        <v>169</v>
      </c>
      <c r="L63" s="12" t="s">
        <v>54</v>
      </c>
      <c r="M63" s="12">
        <v>60</v>
      </c>
      <c r="N63" s="9" t="s">
        <v>55</v>
      </c>
      <c r="O63" s="13" t="s">
        <v>33</v>
      </c>
      <c r="P63" s="14" t="s">
        <v>157</v>
      </c>
      <c r="Q63" s="9">
        <v>20</v>
      </c>
      <c r="R63" s="9">
        <v>20</v>
      </c>
      <c r="S63" s="28" t="s">
        <v>158</v>
      </c>
      <c r="T63" s="28">
        <v>7.73</v>
      </c>
      <c r="U63" s="26" t="s">
        <v>170</v>
      </c>
      <c r="V63" s="9">
        <v>0.65</v>
      </c>
      <c r="W63" s="9">
        <v>12</v>
      </c>
      <c r="X63" s="9">
        <v>12</v>
      </c>
      <c r="Y63" s="9">
        <v>0.65</v>
      </c>
      <c r="Z63" s="15">
        <f t="shared" si="67"/>
        <v>1.1105489745328638</v>
      </c>
      <c r="AA63" s="15">
        <f t="shared" si="81"/>
        <v>1.7439648019971792</v>
      </c>
      <c r="AC63" s="16">
        <f t="shared" si="68"/>
        <v>0.90782053017818432</v>
      </c>
      <c r="AD63" s="26">
        <f t="shared" si="69"/>
        <v>1.1015393095414168</v>
      </c>
      <c r="AE63" s="51">
        <v>13</v>
      </c>
      <c r="AF63" s="85" t="str">
        <f t="shared" si="70"/>
        <v>NOEC</v>
      </c>
      <c r="AG63" s="9">
        <f t="shared" si="71"/>
        <v>1</v>
      </c>
      <c r="AH63" s="18">
        <f t="shared" si="72"/>
        <v>1.7439648019971792</v>
      </c>
      <c r="AI63" s="88" t="str">
        <f t="shared" si="73"/>
        <v>Chronic</v>
      </c>
      <c r="AJ63" s="9">
        <f t="shared" si="74"/>
        <v>1</v>
      </c>
      <c r="AK63" s="18">
        <f t="shared" si="75"/>
        <v>1.7439648019971792</v>
      </c>
      <c r="AL63" s="16"/>
      <c r="AM63" s="110" t="str">
        <f t="shared" si="76"/>
        <v>NOEC</v>
      </c>
      <c r="AN63" s="111" t="s">
        <v>356</v>
      </c>
      <c r="AO63" s="112" t="str">
        <f t="shared" si="77"/>
        <v>Chronic</v>
      </c>
      <c r="AP63" s="111" t="str">
        <f t="shared" si="82"/>
        <v>y</v>
      </c>
      <c r="AQ63" s="134" t="str">
        <f t="shared" si="78"/>
        <v>Length</v>
      </c>
      <c r="AR63" s="111" t="s">
        <v>475</v>
      </c>
      <c r="AS63" s="114">
        <f t="shared" si="79"/>
        <v>60</v>
      </c>
      <c r="AT63" s="111" t="s">
        <v>476</v>
      </c>
      <c r="AU63" s="111"/>
      <c r="AV63" s="152">
        <f t="shared" si="85"/>
        <v>1.7439648019971792</v>
      </c>
      <c r="AW63" s="140">
        <f>GEOMEAN(AV63)</f>
        <v>1.7439648019971792</v>
      </c>
      <c r="AX63" s="141">
        <f>MIN(AW63)</f>
        <v>1.7439648019971792</v>
      </c>
      <c r="AY63" s="142">
        <f>MIN(AX63:AX63)</f>
        <v>1.7439648019971792</v>
      </c>
    </row>
    <row r="64" spans="1:52" x14ac:dyDescent="0.2">
      <c r="A64" s="32" t="s">
        <v>176</v>
      </c>
      <c r="B64" s="33">
        <v>254</v>
      </c>
      <c r="C64" s="34" t="s">
        <v>24</v>
      </c>
      <c r="D64" s="35" t="s">
        <v>172</v>
      </c>
      <c r="E64" s="33" t="s">
        <v>121</v>
      </c>
      <c r="F64" s="33" t="s">
        <v>127</v>
      </c>
      <c r="G64" s="33" t="s">
        <v>52</v>
      </c>
      <c r="H64" s="33" t="s">
        <v>571</v>
      </c>
      <c r="I64" s="36" t="s">
        <v>128</v>
      </c>
      <c r="J64" s="36" t="s">
        <v>177</v>
      </c>
      <c r="K64" s="36" t="s">
        <v>137</v>
      </c>
      <c r="L64" s="36" t="s">
        <v>133</v>
      </c>
      <c r="M64" s="36">
        <v>28</v>
      </c>
      <c r="N64" s="33" t="s">
        <v>55</v>
      </c>
      <c r="O64" s="37" t="s">
        <v>33</v>
      </c>
      <c r="P64" s="38" t="s">
        <v>129</v>
      </c>
      <c r="Q64" s="33" t="s">
        <v>130</v>
      </c>
      <c r="R64" s="33">
        <v>20</v>
      </c>
      <c r="S64" s="33" t="s">
        <v>131</v>
      </c>
      <c r="T64" s="33">
        <v>8.1999999999999993</v>
      </c>
      <c r="U64" s="33">
        <v>5.9020000000000001</v>
      </c>
      <c r="V64" s="33" t="s">
        <v>175</v>
      </c>
      <c r="W64" s="33" t="s">
        <v>37</v>
      </c>
      <c r="X64" s="33">
        <v>23.6</v>
      </c>
      <c r="Y64" s="33">
        <v>0.4</v>
      </c>
      <c r="Z64" s="40">
        <f t="shared" si="67"/>
        <v>1.3183308357445855</v>
      </c>
      <c r="AA64" s="40">
        <f t="shared" si="81"/>
        <v>2.0702577082592635</v>
      </c>
      <c r="AB64" t="s">
        <v>577</v>
      </c>
      <c r="AC64" s="16">
        <f t="shared" si="68"/>
        <v>0.30760968147407108</v>
      </c>
      <c r="AD64" s="26">
        <f t="shared" si="69"/>
        <v>3.2508729738543409</v>
      </c>
      <c r="AE64" s="51">
        <v>13</v>
      </c>
      <c r="AF64" s="85" t="str">
        <f t="shared" si="70"/>
        <v>IC10</v>
      </c>
      <c r="AG64" s="9">
        <f t="shared" si="71"/>
        <v>1</v>
      </c>
      <c r="AH64" s="18">
        <f t="shared" si="72"/>
        <v>2.0702577082592635</v>
      </c>
      <c r="AI64" s="88" t="str">
        <f t="shared" si="73"/>
        <v>Chronic</v>
      </c>
      <c r="AJ64" s="9">
        <f t="shared" si="74"/>
        <v>1</v>
      </c>
      <c r="AK64" s="18">
        <f t="shared" si="75"/>
        <v>2.0702577082592635</v>
      </c>
      <c r="AL64" s="16"/>
      <c r="AM64" s="110" t="str">
        <f t="shared" si="76"/>
        <v>IC10</v>
      </c>
      <c r="AN64" s="111" t="s">
        <v>356</v>
      </c>
      <c r="AO64" s="112" t="str">
        <f t="shared" si="77"/>
        <v>Chronic</v>
      </c>
      <c r="AP64" s="111" t="str">
        <f t="shared" si="82"/>
        <v>y</v>
      </c>
      <c r="AQ64" s="134" t="str">
        <f t="shared" si="78"/>
        <v>Shell length</v>
      </c>
      <c r="AR64" s="111" t="s">
        <v>473</v>
      </c>
      <c r="AS64" s="114">
        <f t="shared" si="79"/>
        <v>28</v>
      </c>
      <c r="AT64" s="111" t="s">
        <v>474</v>
      </c>
      <c r="AU64" s="111"/>
      <c r="AV64" s="152">
        <f>AK64</f>
        <v>2.0702577082592635</v>
      </c>
      <c r="AW64" s="140">
        <f>GEOMEAN(AV64)</f>
        <v>2.0702577082592635</v>
      </c>
      <c r="AX64" s="141">
        <f>MIN(AW64)</f>
        <v>2.0702577082592635</v>
      </c>
      <c r="AY64" s="142">
        <f>MIN(AX64:AX64)</f>
        <v>2.0702577082592635</v>
      </c>
    </row>
    <row r="65" spans="1:52" x14ac:dyDescent="0.2">
      <c r="A65" s="193" t="s">
        <v>602</v>
      </c>
    </row>
    <row r="66" spans="1:52" x14ac:dyDescent="0.2">
      <c r="A66" s="32" t="s">
        <v>48</v>
      </c>
      <c r="B66" s="33">
        <v>236</v>
      </c>
      <c r="C66" s="34" t="s">
        <v>24</v>
      </c>
      <c r="D66" s="35" t="s">
        <v>49</v>
      </c>
      <c r="E66" s="33" t="s">
        <v>50</v>
      </c>
      <c r="F66" s="33" t="s">
        <v>51</v>
      </c>
      <c r="G66" s="33" t="s">
        <v>52</v>
      </c>
      <c r="H66" s="33" t="s">
        <v>571</v>
      </c>
      <c r="I66" s="36" t="s">
        <v>37</v>
      </c>
      <c r="J66" s="36" t="s">
        <v>53</v>
      </c>
      <c r="K66" s="36" t="s">
        <v>53</v>
      </c>
      <c r="L66" s="36" t="s">
        <v>54</v>
      </c>
      <c r="M66" s="36">
        <v>30</v>
      </c>
      <c r="N66" s="33" t="s">
        <v>55</v>
      </c>
      <c r="O66" s="37" t="s">
        <v>33</v>
      </c>
      <c r="P66" s="38" t="s">
        <v>56</v>
      </c>
      <c r="Q66" s="33" t="s">
        <v>57</v>
      </c>
      <c r="R66" s="40">
        <v>15.1</v>
      </c>
      <c r="S66" s="33" t="s">
        <v>58</v>
      </c>
      <c r="T66" s="33">
        <v>8.11</v>
      </c>
      <c r="U66" s="33">
        <v>3.42</v>
      </c>
      <c r="V66" s="33" t="s">
        <v>37</v>
      </c>
      <c r="W66" s="33">
        <v>20</v>
      </c>
      <c r="X66" s="40">
        <v>20</v>
      </c>
      <c r="Y66" s="40">
        <f t="shared" ref="Y66:Y70" si="87">X66/((U66/100)*1000)</f>
        <v>0.58479532163742687</v>
      </c>
      <c r="Z66" s="40">
        <f t="shared" ref="Z66:Z79" si="88">Y66/((0.0278/(1+AC66))+(1.1994/(1+AD66)))</f>
        <v>1.6734482467670493</v>
      </c>
      <c r="AA66" s="40">
        <f>POWER(10,LOG(Z66)-(-0.028*(R66-AE66)))</f>
        <v>1.7964382182365775</v>
      </c>
      <c r="AC66" s="16">
        <f t="shared" ref="AC66:AC79" si="89">POWER(10,7.688-T66)</f>
        <v>0.37844258471709358</v>
      </c>
      <c r="AD66" s="26">
        <f t="shared" ref="AD66:AD79" si="90">POWER(10,T66-7.688)</f>
        <v>2.6424087573219448</v>
      </c>
      <c r="AE66" s="51">
        <v>14</v>
      </c>
      <c r="AF66" s="85" t="str">
        <f t="shared" ref="AF66:AF79" si="91">L66</f>
        <v>NOEC</v>
      </c>
      <c r="AG66" s="9">
        <f t="shared" ref="AG66:AG79" si="92">VLOOKUP(AF66,$BD$6:$BE$17,2,FALSE)</f>
        <v>1</v>
      </c>
      <c r="AH66" s="18">
        <f t="shared" ref="AH66:AH79" si="93">AA66/AG66</f>
        <v>1.7964382182365775</v>
      </c>
      <c r="AI66" s="88" t="str">
        <f t="shared" ref="AI66:AI79" si="94">O66</f>
        <v>Chronic</v>
      </c>
      <c r="AJ66" s="9">
        <f t="shared" ref="AJ66:AJ79" si="95">VLOOKUP(AI66,$BD$19:$BF$20,2,FALSE)</f>
        <v>1</v>
      </c>
      <c r="AK66" s="18">
        <f t="shared" ref="AK66:AK79" si="96">AH66/AJ66</f>
        <v>1.7964382182365775</v>
      </c>
      <c r="AL66" s="16"/>
      <c r="AM66" s="127" t="str">
        <f t="shared" ref="AM66:AM79" si="97">L66</f>
        <v>NOEC</v>
      </c>
      <c r="AN66" s="128" t="s">
        <v>356</v>
      </c>
      <c r="AO66" s="129" t="str">
        <f t="shared" ref="AO66:AO79" si="98">O66</f>
        <v>Chronic</v>
      </c>
      <c r="AP66" s="128" t="str">
        <f>IF(AO66="chronic","y","n")</f>
        <v>y</v>
      </c>
      <c r="AQ66" s="130" t="str">
        <f t="shared" ref="AQ66:AQ79" si="99">K66</f>
        <v>Mortality</v>
      </c>
      <c r="AR66" s="128" t="s">
        <v>459</v>
      </c>
      <c r="AS66" s="131">
        <f t="shared" ref="AS66:AS79" si="100">M66</f>
        <v>30</v>
      </c>
      <c r="AT66" s="128" t="s">
        <v>460</v>
      </c>
      <c r="AU66" s="128"/>
      <c r="AV66" s="189">
        <f t="shared" ref="AV66:AV72" si="101">AK66</f>
        <v>1.7964382182365775</v>
      </c>
      <c r="AW66" s="144">
        <f>GEOMEAN(AV66)</f>
        <v>1.7964382182365775</v>
      </c>
      <c r="AX66" s="148">
        <f>MIN(AW66)</f>
        <v>1.7964382182365775</v>
      </c>
      <c r="AY66" s="149">
        <f>MIN(AX66)</f>
        <v>1.7964382182365775</v>
      </c>
      <c r="AZ66" s="206" t="str">
        <f>A65</f>
        <v>14°C</v>
      </c>
    </row>
    <row r="67" spans="1:52" x14ac:dyDescent="0.2">
      <c r="A67" s="19" t="s">
        <v>59</v>
      </c>
      <c r="B67" s="9">
        <v>245</v>
      </c>
      <c r="C67" s="10" t="s">
        <v>24</v>
      </c>
      <c r="D67" s="11" t="s">
        <v>60</v>
      </c>
      <c r="E67" s="20" t="s">
        <v>61</v>
      </c>
      <c r="F67" s="9" t="s">
        <v>62</v>
      </c>
      <c r="G67" s="9" t="s">
        <v>52</v>
      </c>
      <c r="H67" s="9" t="s">
        <v>571</v>
      </c>
      <c r="I67" s="12" t="s">
        <v>63</v>
      </c>
      <c r="J67" s="12" t="s">
        <v>64</v>
      </c>
      <c r="K67" s="12" t="s">
        <v>64</v>
      </c>
      <c r="L67" s="12" t="s">
        <v>54</v>
      </c>
      <c r="M67" s="12">
        <v>7</v>
      </c>
      <c r="N67" s="9" t="s">
        <v>55</v>
      </c>
      <c r="O67" s="21" t="s">
        <v>33</v>
      </c>
      <c r="P67" s="14" t="s">
        <v>65</v>
      </c>
      <c r="Q67" s="9">
        <v>25</v>
      </c>
      <c r="R67" s="9">
        <v>25</v>
      </c>
      <c r="S67" s="22">
        <v>8</v>
      </c>
      <c r="T67" s="22">
        <v>8</v>
      </c>
      <c r="U67" s="20">
        <v>5.3659999999999997</v>
      </c>
      <c r="V67" s="20" t="s">
        <v>37</v>
      </c>
      <c r="W67" s="20">
        <v>680</v>
      </c>
      <c r="X67" s="9">
        <v>680</v>
      </c>
      <c r="Y67" s="27">
        <f t="shared" si="87"/>
        <v>12.672381662318301</v>
      </c>
      <c r="Z67" s="15">
        <f t="shared" si="88"/>
        <v>30.774279778328605</v>
      </c>
      <c r="AA67" s="15">
        <f t="shared" ref="AA67:AA79" si="102">POWER(10,LOG(Z67)-(-0.028*(R67-AE67)))</f>
        <v>62.544323263998947</v>
      </c>
      <c r="AC67" s="16">
        <f t="shared" si="89"/>
        <v>0.48752849010338595</v>
      </c>
      <c r="AD67" s="26">
        <f t="shared" si="90"/>
        <v>2.051162178825567</v>
      </c>
      <c r="AE67" s="51">
        <v>14</v>
      </c>
      <c r="AF67" s="85" t="str">
        <f t="shared" si="91"/>
        <v>NOEC</v>
      </c>
      <c r="AG67" s="9">
        <f t="shared" si="92"/>
        <v>1</v>
      </c>
      <c r="AH67" s="18">
        <f t="shared" si="93"/>
        <v>62.544323263998947</v>
      </c>
      <c r="AI67" s="88" t="str">
        <f t="shared" si="94"/>
        <v>Chronic</v>
      </c>
      <c r="AJ67" s="9">
        <f t="shared" si="95"/>
        <v>1</v>
      </c>
      <c r="AK67" s="18">
        <f t="shared" si="96"/>
        <v>62.544323263998947</v>
      </c>
      <c r="AL67" s="16"/>
      <c r="AM67" s="101" t="str">
        <f t="shared" si="97"/>
        <v>NOEC</v>
      </c>
      <c r="AN67" s="102" t="s">
        <v>356</v>
      </c>
      <c r="AO67" s="103" t="str">
        <f t="shared" si="98"/>
        <v>Chronic</v>
      </c>
      <c r="AP67" s="102" t="str">
        <f t="shared" ref="AP67:AP79" si="103">IF(AO67="chronic","y","n")</f>
        <v>y</v>
      </c>
      <c r="AQ67" s="104" t="str">
        <f t="shared" si="99"/>
        <v>Reproduction</v>
      </c>
      <c r="AR67" s="102" t="s">
        <v>459</v>
      </c>
      <c r="AS67" s="105">
        <f t="shared" si="100"/>
        <v>7</v>
      </c>
      <c r="AT67" s="102" t="s">
        <v>460</v>
      </c>
      <c r="AU67" s="102"/>
      <c r="AV67" s="106">
        <f t="shared" si="101"/>
        <v>62.544323263998947</v>
      </c>
      <c r="AW67" s="107">
        <f>GEOMEAN(AV67:AV67)</f>
        <v>62.544323263998947</v>
      </c>
      <c r="AX67" s="108">
        <f>MIN(AW67:AW67)</f>
        <v>62.544323263998947</v>
      </c>
      <c r="AY67" s="109">
        <f>MIN(AX67)</f>
        <v>62.544323263998947</v>
      </c>
    </row>
    <row r="68" spans="1:52" x14ac:dyDescent="0.2">
      <c r="A68" s="32" t="s">
        <v>82</v>
      </c>
      <c r="B68" s="33">
        <v>240</v>
      </c>
      <c r="C68" s="34" t="s">
        <v>24</v>
      </c>
      <c r="D68" s="35" t="s">
        <v>77</v>
      </c>
      <c r="E68" s="33" t="s">
        <v>61</v>
      </c>
      <c r="F68" s="33" t="s">
        <v>62</v>
      </c>
      <c r="G68" s="33" t="s">
        <v>52</v>
      </c>
      <c r="H68" s="33" t="s">
        <v>571</v>
      </c>
      <c r="I68" s="36" t="s">
        <v>78</v>
      </c>
      <c r="J68" s="36" t="s">
        <v>83</v>
      </c>
      <c r="K68" s="36" t="s">
        <v>84</v>
      </c>
      <c r="L68" s="36" t="s">
        <v>54</v>
      </c>
      <c r="M68" s="36">
        <v>21</v>
      </c>
      <c r="N68" s="33" t="s">
        <v>55</v>
      </c>
      <c r="O68" s="37" t="s">
        <v>33</v>
      </c>
      <c r="P68" s="38" t="s">
        <v>79</v>
      </c>
      <c r="Q68" s="33" t="s">
        <v>80</v>
      </c>
      <c r="R68" s="40">
        <v>19.8</v>
      </c>
      <c r="S68" s="33" t="s">
        <v>81</v>
      </c>
      <c r="T68" s="33">
        <v>8.4499999999999993</v>
      </c>
      <c r="U68" s="33">
        <v>9.9039999999999999</v>
      </c>
      <c r="V68" s="44" t="s">
        <v>37</v>
      </c>
      <c r="W68" s="44" t="s">
        <v>37</v>
      </c>
      <c r="X68" s="33">
        <v>420</v>
      </c>
      <c r="Y68" s="40">
        <f t="shared" si="87"/>
        <v>4.2407108239095308</v>
      </c>
      <c r="Z68" s="40">
        <f t="shared" si="88"/>
        <v>21.142464693435951</v>
      </c>
      <c r="AA68" s="40">
        <f t="shared" si="102"/>
        <v>30.72950849907383</v>
      </c>
      <c r="AC68" s="16">
        <f t="shared" si="89"/>
        <v>0.17298163592151028</v>
      </c>
      <c r="AD68" s="26">
        <f t="shared" si="90"/>
        <v>5.7809604740571769</v>
      </c>
      <c r="AE68" s="51">
        <v>14</v>
      </c>
      <c r="AF68" s="85" t="str">
        <f t="shared" si="91"/>
        <v>NOEC</v>
      </c>
      <c r="AG68" s="9">
        <f t="shared" si="92"/>
        <v>1</v>
      </c>
      <c r="AH68" s="18">
        <f t="shared" si="93"/>
        <v>30.72950849907383</v>
      </c>
      <c r="AI68" s="88" t="str">
        <f t="shared" si="94"/>
        <v>Chronic</v>
      </c>
      <c r="AJ68" s="9">
        <f t="shared" si="95"/>
        <v>1</v>
      </c>
      <c r="AK68" s="18">
        <f t="shared" si="96"/>
        <v>30.72950849907383</v>
      </c>
      <c r="AL68" s="16"/>
      <c r="AM68" s="101" t="str">
        <f t="shared" si="97"/>
        <v>NOEC</v>
      </c>
      <c r="AN68" s="102" t="s">
        <v>356</v>
      </c>
      <c r="AO68" s="103" t="str">
        <f t="shared" si="98"/>
        <v>Chronic</v>
      </c>
      <c r="AP68" s="102" t="str">
        <f t="shared" si="103"/>
        <v>y</v>
      </c>
      <c r="AQ68" s="104" t="str">
        <f t="shared" si="99"/>
        <v>Mean total young/daphnid</v>
      </c>
      <c r="AR68" s="102" t="s">
        <v>459</v>
      </c>
      <c r="AS68" s="105">
        <f t="shared" si="100"/>
        <v>21</v>
      </c>
      <c r="AT68" s="102" t="s">
        <v>460</v>
      </c>
      <c r="AU68" s="102"/>
      <c r="AV68" s="147">
        <f t="shared" si="101"/>
        <v>30.72950849907383</v>
      </c>
      <c r="AW68" s="107">
        <f>GEOMEAN(AV68:AV68)</f>
        <v>30.72950849907383</v>
      </c>
      <c r="AX68" s="108">
        <f>MIN(AW68)</f>
        <v>30.72950849907383</v>
      </c>
      <c r="AY68" s="109"/>
    </row>
    <row r="69" spans="1:52" x14ac:dyDescent="0.2">
      <c r="A69" s="32" t="s">
        <v>87</v>
      </c>
      <c r="B69" s="33">
        <v>240</v>
      </c>
      <c r="C69" s="34" t="s">
        <v>24</v>
      </c>
      <c r="D69" s="35" t="s">
        <v>77</v>
      </c>
      <c r="E69" s="33" t="s">
        <v>61</v>
      </c>
      <c r="F69" s="33" t="s">
        <v>62</v>
      </c>
      <c r="G69" s="33" t="s">
        <v>52</v>
      </c>
      <c r="H69" s="33" t="s">
        <v>571</v>
      </c>
      <c r="I69" s="36" t="s">
        <v>78</v>
      </c>
      <c r="J69" s="36" t="s">
        <v>83</v>
      </c>
      <c r="K69" s="36" t="s">
        <v>88</v>
      </c>
      <c r="L69" s="36" t="s">
        <v>54</v>
      </c>
      <c r="M69" s="36">
        <v>21</v>
      </c>
      <c r="N69" s="33" t="s">
        <v>55</v>
      </c>
      <c r="O69" s="37" t="s">
        <v>33</v>
      </c>
      <c r="P69" s="38" t="s">
        <v>79</v>
      </c>
      <c r="Q69" s="33" t="s">
        <v>80</v>
      </c>
      <c r="R69" s="40">
        <v>19.8</v>
      </c>
      <c r="S69" s="33" t="s">
        <v>81</v>
      </c>
      <c r="T69" s="33">
        <v>8.4499999999999993</v>
      </c>
      <c r="U69" s="33">
        <v>9.9039999999999999</v>
      </c>
      <c r="V69" s="44" t="s">
        <v>37</v>
      </c>
      <c r="W69" s="44" t="s">
        <v>37</v>
      </c>
      <c r="X69" s="33">
        <v>420</v>
      </c>
      <c r="Y69" s="40">
        <f t="shared" si="87"/>
        <v>4.2407108239095308</v>
      </c>
      <c r="Z69" s="40">
        <f t="shared" si="88"/>
        <v>21.142464693435951</v>
      </c>
      <c r="AA69" s="40">
        <f t="shared" si="102"/>
        <v>30.72950849907383</v>
      </c>
      <c r="AC69" s="16">
        <f t="shared" si="89"/>
        <v>0.17298163592151028</v>
      </c>
      <c r="AD69" s="26">
        <f t="shared" si="90"/>
        <v>5.7809604740571769</v>
      </c>
      <c r="AE69" s="51">
        <v>14</v>
      </c>
      <c r="AF69" s="85" t="str">
        <f t="shared" si="91"/>
        <v>NOEC</v>
      </c>
      <c r="AG69" s="9">
        <f t="shared" si="92"/>
        <v>1</v>
      </c>
      <c r="AH69" s="18">
        <f t="shared" si="93"/>
        <v>30.72950849907383</v>
      </c>
      <c r="AI69" s="88" t="str">
        <f t="shared" si="94"/>
        <v>Chronic</v>
      </c>
      <c r="AJ69" s="9">
        <f t="shared" si="95"/>
        <v>1</v>
      </c>
      <c r="AK69" s="18">
        <f t="shared" si="96"/>
        <v>30.72950849907383</v>
      </c>
      <c r="AL69" s="16"/>
      <c r="AM69" s="132" t="str">
        <f t="shared" si="97"/>
        <v>NOEC</v>
      </c>
      <c r="AN69" s="67" t="s">
        <v>356</v>
      </c>
      <c r="AO69" s="88" t="str">
        <f t="shared" si="98"/>
        <v>Chronic</v>
      </c>
      <c r="AP69" s="67" t="str">
        <f t="shared" si="103"/>
        <v>y</v>
      </c>
      <c r="AQ69" s="69" t="str">
        <f t="shared" si="99"/>
        <v>Mean brood size/daphnid</v>
      </c>
      <c r="AR69" s="67" t="s">
        <v>475</v>
      </c>
      <c r="AS69" s="70">
        <f t="shared" si="100"/>
        <v>21</v>
      </c>
      <c r="AT69" s="67" t="s">
        <v>476</v>
      </c>
      <c r="AU69" s="67"/>
      <c r="AV69" s="82">
        <f t="shared" si="101"/>
        <v>30.72950849907383</v>
      </c>
      <c r="AW69" s="81">
        <f>GEOMEAN(AV69:AV69)</f>
        <v>30.72950849907383</v>
      </c>
      <c r="AX69" s="78">
        <f>MIN(AW69)</f>
        <v>30.72950849907383</v>
      </c>
      <c r="AY69" s="133"/>
    </row>
    <row r="70" spans="1:52" x14ac:dyDescent="0.2">
      <c r="A70" s="32" t="s">
        <v>89</v>
      </c>
      <c r="B70" s="33">
        <v>240</v>
      </c>
      <c r="C70" s="34" t="s">
        <v>24</v>
      </c>
      <c r="D70" s="35" t="s">
        <v>77</v>
      </c>
      <c r="E70" s="33" t="s">
        <v>61</v>
      </c>
      <c r="F70" s="33" t="s">
        <v>62</v>
      </c>
      <c r="G70" s="33" t="s">
        <v>52</v>
      </c>
      <c r="H70" s="33" t="s">
        <v>571</v>
      </c>
      <c r="I70" s="36" t="s">
        <v>78</v>
      </c>
      <c r="J70" s="36" t="s">
        <v>53</v>
      </c>
      <c r="K70" s="36" t="s">
        <v>53</v>
      </c>
      <c r="L70" s="36" t="s">
        <v>54</v>
      </c>
      <c r="M70" s="36">
        <v>21</v>
      </c>
      <c r="N70" s="33" t="s">
        <v>55</v>
      </c>
      <c r="O70" s="37" t="s">
        <v>33</v>
      </c>
      <c r="P70" s="38" t="s">
        <v>79</v>
      </c>
      <c r="Q70" s="33" t="s">
        <v>80</v>
      </c>
      <c r="R70" s="40">
        <v>19.8</v>
      </c>
      <c r="S70" s="33" t="s">
        <v>81</v>
      </c>
      <c r="T70" s="33">
        <v>8.4499999999999993</v>
      </c>
      <c r="U70" s="33">
        <v>9.9039999999999999</v>
      </c>
      <c r="V70" s="44" t="s">
        <v>37</v>
      </c>
      <c r="W70" s="44" t="s">
        <v>37</v>
      </c>
      <c r="X70" s="33">
        <v>420</v>
      </c>
      <c r="Y70" s="40">
        <f t="shared" si="87"/>
        <v>4.2407108239095308</v>
      </c>
      <c r="Z70" s="40">
        <f t="shared" si="88"/>
        <v>21.142464693435951</v>
      </c>
      <c r="AA70" s="40">
        <f t="shared" si="102"/>
        <v>30.72950849907383</v>
      </c>
      <c r="AC70" s="16">
        <f t="shared" si="89"/>
        <v>0.17298163592151028</v>
      </c>
      <c r="AD70" s="26">
        <f t="shared" si="90"/>
        <v>5.7809604740571769</v>
      </c>
      <c r="AE70" s="51">
        <v>14</v>
      </c>
      <c r="AF70" s="85" t="str">
        <f t="shared" si="91"/>
        <v>NOEC</v>
      </c>
      <c r="AG70" s="9">
        <f t="shared" si="92"/>
        <v>1</v>
      </c>
      <c r="AH70" s="18">
        <f t="shared" si="93"/>
        <v>30.72950849907383</v>
      </c>
      <c r="AI70" s="88" t="str">
        <f t="shared" si="94"/>
        <v>Chronic</v>
      </c>
      <c r="AJ70" s="9">
        <f t="shared" si="95"/>
        <v>1</v>
      </c>
      <c r="AK70" s="18">
        <f t="shared" si="96"/>
        <v>30.72950849907383</v>
      </c>
      <c r="AL70" s="16"/>
      <c r="AM70" s="110" t="str">
        <f t="shared" si="97"/>
        <v>NOEC</v>
      </c>
      <c r="AN70" s="111" t="s">
        <v>356</v>
      </c>
      <c r="AO70" s="112" t="str">
        <f t="shared" si="98"/>
        <v>Chronic</v>
      </c>
      <c r="AP70" s="111" t="str">
        <f t="shared" si="103"/>
        <v>y</v>
      </c>
      <c r="AQ70" s="134" t="str">
        <f t="shared" si="99"/>
        <v>Mortality</v>
      </c>
      <c r="AR70" s="111" t="s">
        <v>55</v>
      </c>
      <c r="AS70" s="114">
        <f t="shared" si="100"/>
        <v>21</v>
      </c>
      <c r="AT70" s="111" t="s">
        <v>477</v>
      </c>
      <c r="AU70" s="111"/>
      <c r="AV70" s="138">
        <f t="shared" si="101"/>
        <v>30.72950849907383</v>
      </c>
      <c r="AW70" s="135">
        <f>GEOMEAN(AV70:AV70)</f>
        <v>30.72950849907383</v>
      </c>
      <c r="AX70" s="136">
        <f>MIN(AW70)</f>
        <v>30.72950849907383</v>
      </c>
      <c r="AY70" s="137">
        <f>MIN(AX68:AX70)</f>
        <v>30.72950849907383</v>
      </c>
    </row>
    <row r="71" spans="1:52" x14ac:dyDescent="0.2">
      <c r="A71" s="19" t="s">
        <v>90</v>
      </c>
      <c r="B71" s="23">
        <v>231</v>
      </c>
      <c r="C71" s="10" t="s">
        <v>24</v>
      </c>
      <c r="D71" s="11" t="s">
        <v>91</v>
      </c>
      <c r="E71" s="9" t="s">
        <v>61</v>
      </c>
      <c r="F71" s="9" t="s">
        <v>92</v>
      </c>
      <c r="G71" s="9" t="s">
        <v>93</v>
      </c>
      <c r="H71" s="9" t="s">
        <v>571</v>
      </c>
      <c r="I71" s="9" t="s">
        <v>94</v>
      </c>
      <c r="J71" s="12" t="s">
        <v>53</v>
      </c>
      <c r="K71" s="12" t="s">
        <v>95</v>
      </c>
      <c r="L71" s="12" t="s">
        <v>54</v>
      </c>
      <c r="M71" s="9">
        <v>29</v>
      </c>
      <c r="N71" s="9" t="s">
        <v>55</v>
      </c>
      <c r="O71" s="9" t="s">
        <v>33</v>
      </c>
      <c r="P71" s="14" t="s">
        <v>96</v>
      </c>
      <c r="Q71" s="23">
        <v>15.8</v>
      </c>
      <c r="R71" s="94">
        <v>15.8</v>
      </c>
      <c r="S71" s="9">
        <v>8.3699999999999992</v>
      </c>
      <c r="T71" s="9">
        <v>8.3699999999999992</v>
      </c>
      <c r="U71" s="9">
        <v>6.3609999999999998</v>
      </c>
      <c r="V71" s="9">
        <v>0.94899999999999995</v>
      </c>
      <c r="W71" s="9">
        <v>66</v>
      </c>
      <c r="X71" s="9">
        <v>66</v>
      </c>
      <c r="Y71" s="9">
        <v>0.94899999999999995</v>
      </c>
      <c r="Z71" s="15">
        <f t="shared" si="88"/>
        <v>4.1349303568432507</v>
      </c>
      <c r="AA71" s="15">
        <f t="shared" si="102"/>
        <v>4.6437432441717039</v>
      </c>
      <c r="AC71" s="16">
        <f t="shared" si="89"/>
        <v>0.20796966871036979</v>
      </c>
      <c r="AD71" s="26">
        <f t="shared" si="90"/>
        <v>4.8083934844972802</v>
      </c>
      <c r="AE71" s="51">
        <v>14</v>
      </c>
      <c r="AF71" s="85" t="str">
        <f t="shared" si="91"/>
        <v>NOEC</v>
      </c>
      <c r="AG71" s="9">
        <f t="shared" si="92"/>
        <v>1</v>
      </c>
      <c r="AH71" s="18">
        <f t="shared" si="93"/>
        <v>4.6437432441717039</v>
      </c>
      <c r="AI71" s="88" t="str">
        <f t="shared" si="94"/>
        <v>Chronic</v>
      </c>
      <c r="AJ71" s="9">
        <f t="shared" si="95"/>
        <v>1</v>
      </c>
      <c r="AK71" s="18">
        <f t="shared" si="96"/>
        <v>4.6437432441717039</v>
      </c>
      <c r="AL71" s="16"/>
      <c r="AM71" s="127" t="str">
        <f t="shared" si="97"/>
        <v>NOEC</v>
      </c>
      <c r="AN71" s="128" t="s">
        <v>356</v>
      </c>
      <c r="AO71" s="129" t="str">
        <f t="shared" si="98"/>
        <v>Chronic</v>
      </c>
      <c r="AP71" s="128" t="str">
        <f t="shared" si="103"/>
        <v>y</v>
      </c>
      <c r="AQ71" s="130" t="str">
        <f t="shared" si="99"/>
        <v>Mortality (of juvenile Deleatidium sp.)</v>
      </c>
      <c r="AR71" s="128" t="s">
        <v>459</v>
      </c>
      <c r="AS71" s="131">
        <f t="shared" si="100"/>
        <v>29</v>
      </c>
      <c r="AT71" s="128" t="s">
        <v>460</v>
      </c>
      <c r="AU71" s="128"/>
      <c r="AV71" s="143">
        <f t="shared" si="101"/>
        <v>4.6437432441717039</v>
      </c>
      <c r="AW71" s="144">
        <f t="shared" ref="AW71:AW72" si="104">GEOMEAN(AV71:AV71)</f>
        <v>4.6437432441717039</v>
      </c>
      <c r="AX71" s="141">
        <f>MIN(AW71)</f>
        <v>4.6437432441717039</v>
      </c>
      <c r="AY71" s="142">
        <f>MIN(AX71:AX71)</f>
        <v>4.6437432441717039</v>
      </c>
    </row>
    <row r="72" spans="1:52" x14ac:dyDescent="0.2">
      <c r="A72" s="32" t="s">
        <v>97</v>
      </c>
      <c r="B72" s="44">
        <v>221</v>
      </c>
      <c r="C72" s="34" t="s">
        <v>24</v>
      </c>
      <c r="D72" s="35" t="s">
        <v>98</v>
      </c>
      <c r="E72" s="33" t="s">
        <v>61</v>
      </c>
      <c r="F72" s="33" t="s">
        <v>99</v>
      </c>
      <c r="G72" s="33" t="s">
        <v>93</v>
      </c>
      <c r="H72" s="33" t="s">
        <v>571</v>
      </c>
      <c r="I72" s="36" t="s">
        <v>100</v>
      </c>
      <c r="J72" s="36" t="s">
        <v>64</v>
      </c>
      <c r="K72" s="44" t="s">
        <v>101</v>
      </c>
      <c r="L72" s="36" t="s">
        <v>54</v>
      </c>
      <c r="M72" s="36">
        <v>10</v>
      </c>
      <c r="N72" s="33" t="s">
        <v>102</v>
      </c>
      <c r="O72" s="33" t="s">
        <v>33</v>
      </c>
      <c r="P72" s="45" t="s">
        <v>103</v>
      </c>
      <c r="Q72" s="44">
        <v>25</v>
      </c>
      <c r="R72" s="44">
        <v>25</v>
      </c>
      <c r="S72" s="33" t="s">
        <v>104</v>
      </c>
      <c r="T72" s="33">
        <v>8.0399999999999991</v>
      </c>
      <c r="U72" s="46">
        <v>5.8536524151080886</v>
      </c>
      <c r="V72" s="33">
        <v>2.5</v>
      </c>
      <c r="W72" s="33" t="s">
        <v>37</v>
      </c>
      <c r="X72" s="39">
        <f t="shared" ref="X72" si="105">(V72)*(U72/100)*1000</f>
        <v>146.3413103777022</v>
      </c>
      <c r="Y72" s="33">
        <v>2.5</v>
      </c>
      <c r="Z72" s="40">
        <f t="shared" si="88"/>
        <v>6.4367096033276967</v>
      </c>
      <c r="AA72" s="40">
        <f t="shared" si="102"/>
        <v>13.081691889683551</v>
      </c>
      <c r="AC72" s="16">
        <f t="shared" si="89"/>
        <v>0.4446312674691093</v>
      </c>
      <c r="AD72" s="26">
        <f t="shared" si="90"/>
        <v>2.2490546058357781</v>
      </c>
      <c r="AE72" s="51">
        <v>14</v>
      </c>
      <c r="AF72" s="85" t="str">
        <f t="shared" si="91"/>
        <v>NOEC</v>
      </c>
      <c r="AG72" s="9">
        <f t="shared" si="92"/>
        <v>1</v>
      </c>
      <c r="AH72" s="18">
        <f t="shared" si="93"/>
        <v>13.081691889683551</v>
      </c>
      <c r="AI72" s="88" t="str">
        <f t="shared" si="94"/>
        <v>Chronic</v>
      </c>
      <c r="AJ72" s="9">
        <f t="shared" si="95"/>
        <v>1</v>
      </c>
      <c r="AK72" s="18">
        <f t="shared" si="96"/>
        <v>13.081691889683551</v>
      </c>
      <c r="AL72" s="16"/>
      <c r="AM72" s="101" t="str">
        <f t="shared" si="97"/>
        <v>NOEC</v>
      </c>
      <c r="AN72" s="102" t="s">
        <v>356</v>
      </c>
      <c r="AO72" s="103" t="str">
        <f t="shared" si="98"/>
        <v>Chronic</v>
      </c>
      <c r="AP72" s="102" t="str">
        <f t="shared" si="103"/>
        <v>y</v>
      </c>
      <c r="AQ72" s="104" t="str">
        <f t="shared" si="99"/>
        <v>Reproduction (average young per replicate)</v>
      </c>
      <c r="AR72" s="102" t="s">
        <v>459</v>
      </c>
      <c r="AS72" s="105">
        <f t="shared" si="100"/>
        <v>10</v>
      </c>
      <c r="AT72" s="102" t="s">
        <v>460</v>
      </c>
      <c r="AU72" s="102"/>
      <c r="AV72" s="106">
        <f t="shared" si="101"/>
        <v>13.081691889683551</v>
      </c>
      <c r="AW72" s="107">
        <f t="shared" si="104"/>
        <v>13.081691889683551</v>
      </c>
      <c r="AX72" s="78">
        <f>MIN(AW72:AW72)</f>
        <v>13.081691889683551</v>
      </c>
      <c r="AY72" s="109">
        <f>MIN(AX72:AX72)</f>
        <v>13.081691889683551</v>
      </c>
    </row>
    <row r="73" spans="1:52" x14ac:dyDescent="0.2">
      <c r="A73" s="19" t="s">
        <v>119</v>
      </c>
      <c r="B73" s="9">
        <v>235</v>
      </c>
      <c r="C73" s="10" t="s">
        <v>24</v>
      </c>
      <c r="D73" s="11" t="s">
        <v>120</v>
      </c>
      <c r="E73" s="9" t="s">
        <v>121</v>
      </c>
      <c r="F73" s="9" t="s">
        <v>122</v>
      </c>
      <c r="G73" s="9" t="s">
        <v>52</v>
      </c>
      <c r="H73" s="9" t="s">
        <v>571</v>
      </c>
      <c r="I73" s="12" t="s">
        <v>37</v>
      </c>
      <c r="J73" s="12" t="s">
        <v>123</v>
      </c>
      <c r="K73" s="12" t="s">
        <v>123</v>
      </c>
      <c r="L73" s="12" t="s">
        <v>54</v>
      </c>
      <c r="M73" s="12">
        <v>40</v>
      </c>
      <c r="N73" s="9" t="s">
        <v>55</v>
      </c>
      <c r="O73" s="13" t="s">
        <v>33</v>
      </c>
      <c r="P73" s="14" t="s">
        <v>56</v>
      </c>
      <c r="Q73" s="9" t="s">
        <v>438</v>
      </c>
      <c r="R73" s="9">
        <v>15.3</v>
      </c>
      <c r="S73" s="9" t="s">
        <v>124</v>
      </c>
      <c r="T73" s="9">
        <v>8.1</v>
      </c>
      <c r="U73" s="9">
        <v>3.3940000000000001</v>
      </c>
      <c r="V73" s="18">
        <v>2.1</v>
      </c>
      <c r="W73" s="9">
        <v>70</v>
      </c>
      <c r="X73" s="9">
        <v>70</v>
      </c>
      <c r="Y73" s="18">
        <v>2.1</v>
      </c>
      <c r="Z73" s="15">
        <f t="shared" si="88"/>
        <v>5.9178920071141139</v>
      </c>
      <c r="AA73" s="15">
        <f t="shared" si="102"/>
        <v>6.4352738919250383</v>
      </c>
      <c r="AC73" s="16">
        <f t="shared" si="89"/>
        <v>0.38725764492161724</v>
      </c>
      <c r="AD73" s="26">
        <f t="shared" si="90"/>
        <v>2.5822601906345959</v>
      </c>
      <c r="AE73" s="51">
        <v>14</v>
      </c>
      <c r="AF73" s="85" t="str">
        <f t="shared" si="91"/>
        <v>NOEC</v>
      </c>
      <c r="AG73" s="9">
        <f t="shared" si="92"/>
        <v>1</v>
      </c>
      <c r="AH73" s="18">
        <f t="shared" si="93"/>
        <v>6.4352738919250383</v>
      </c>
      <c r="AI73" s="88" t="str">
        <f t="shared" si="94"/>
        <v>Chronic</v>
      </c>
      <c r="AJ73" s="9">
        <f t="shared" si="95"/>
        <v>1</v>
      </c>
      <c r="AK73" s="18">
        <f t="shared" si="96"/>
        <v>6.4352738919250383</v>
      </c>
      <c r="AL73" s="16"/>
      <c r="AM73" s="127" t="str">
        <f t="shared" si="97"/>
        <v>NOEC</v>
      </c>
      <c r="AN73" s="128" t="s">
        <v>356</v>
      </c>
      <c r="AO73" s="129" t="str">
        <f t="shared" si="98"/>
        <v>Chronic</v>
      </c>
      <c r="AP73" s="128" t="str">
        <f t="shared" si="103"/>
        <v>y</v>
      </c>
      <c r="AQ73" s="130" t="str">
        <f t="shared" si="99"/>
        <v>Immobility</v>
      </c>
      <c r="AR73" s="128" t="s">
        <v>459</v>
      </c>
      <c r="AS73" s="131">
        <f t="shared" si="100"/>
        <v>40</v>
      </c>
      <c r="AT73" s="128" t="s">
        <v>460</v>
      </c>
      <c r="AU73" s="128"/>
      <c r="AV73" s="143">
        <f>AK73</f>
        <v>6.4352738919250383</v>
      </c>
      <c r="AW73" s="144">
        <f>GEOMEAN(AV73:AV73)</f>
        <v>6.4352738919250383</v>
      </c>
      <c r="AX73" s="148">
        <f>MIN(AW73)</f>
        <v>6.4352738919250383</v>
      </c>
      <c r="AY73" s="149">
        <f>MIN(AX73)</f>
        <v>6.4352738919250383</v>
      </c>
    </row>
    <row r="74" spans="1:52" x14ac:dyDescent="0.2">
      <c r="A74" s="32" t="s">
        <v>132</v>
      </c>
      <c r="B74" s="33">
        <v>254</v>
      </c>
      <c r="C74" s="34" t="s">
        <v>24</v>
      </c>
      <c r="D74" s="35" t="s">
        <v>126</v>
      </c>
      <c r="E74" s="33" t="s">
        <v>121</v>
      </c>
      <c r="F74" s="33" t="s">
        <v>127</v>
      </c>
      <c r="G74" s="33" t="s">
        <v>52</v>
      </c>
      <c r="H74" s="33" t="s">
        <v>571</v>
      </c>
      <c r="I74" s="36" t="s">
        <v>128</v>
      </c>
      <c r="J74" s="36" t="s">
        <v>53</v>
      </c>
      <c r="K74" s="36" t="s">
        <v>53</v>
      </c>
      <c r="L74" s="36" t="s">
        <v>133</v>
      </c>
      <c r="M74" s="36">
        <v>28</v>
      </c>
      <c r="N74" s="33" t="s">
        <v>55</v>
      </c>
      <c r="O74" s="37" t="s">
        <v>33</v>
      </c>
      <c r="P74" s="38" t="s">
        <v>129</v>
      </c>
      <c r="Q74" s="33" t="s">
        <v>130</v>
      </c>
      <c r="R74" s="33">
        <v>20</v>
      </c>
      <c r="S74" s="33" t="s">
        <v>131</v>
      </c>
      <c r="T74" s="33">
        <v>8.1999999999999993</v>
      </c>
      <c r="U74" s="33">
        <v>5.9020000000000001</v>
      </c>
      <c r="V74" s="33" t="s">
        <v>134</v>
      </c>
      <c r="W74" s="33" t="s">
        <v>37</v>
      </c>
      <c r="X74" s="33">
        <v>7.67</v>
      </c>
      <c r="Y74" s="33">
        <v>0.13</v>
      </c>
      <c r="Z74" s="40">
        <f t="shared" si="88"/>
        <v>0.4284575216169903</v>
      </c>
      <c r="AA74" s="40">
        <f t="shared" si="102"/>
        <v>0.63082336583803167</v>
      </c>
      <c r="AB74" t="s">
        <v>577</v>
      </c>
      <c r="AC74" s="16">
        <f t="shared" si="89"/>
        <v>0.30760968147407108</v>
      </c>
      <c r="AD74" s="26">
        <f t="shared" si="90"/>
        <v>3.2508729738543409</v>
      </c>
      <c r="AE74" s="51">
        <v>14</v>
      </c>
      <c r="AF74" s="85" t="str">
        <f t="shared" si="91"/>
        <v>IC10</v>
      </c>
      <c r="AG74" s="9">
        <f t="shared" si="92"/>
        <v>1</v>
      </c>
      <c r="AH74" s="18">
        <f t="shared" si="93"/>
        <v>0.63082336583803167</v>
      </c>
      <c r="AI74" s="88" t="str">
        <f t="shared" si="94"/>
        <v>Chronic</v>
      </c>
      <c r="AJ74" s="9">
        <f t="shared" si="95"/>
        <v>1</v>
      </c>
      <c r="AK74" s="18">
        <f t="shared" si="96"/>
        <v>0.63082336583803167</v>
      </c>
      <c r="AL74" s="16"/>
      <c r="AM74" s="132" t="str">
        <f t="shared" si="97"/>
        <v>IC10</v>
      </c>
      <c r="AN74" s="67" t="s">
        <v>356</v>
      </c>
      <c r="AO74" s="88" t="str">
        <f t="shared" si="98"/>
        <v>Chronic</v>
      </c>
      <c r="AP74" s="67" t="str">
        <f t="shared" si="103"/>
        <v>y</v>
      </c>
      <c r="AQ74" s="69" t="str">
        <f t="shared" si="99"/>
        <v>Mortality</v>
      </c>
      <c r="AR74" s="67" t="s">
        <v>459</v>
      </c>
      <c r="AS74" s="70">
        <f t="shared" si="100"/>
        <v>28</v>
      </c>
      <c r="AT74" s="67" t="s">
        <v>460</v>
      </c>
      <c r="AU74" s="67"/>
      <c r="AV74" s="151">
        <f>AK74</f>
        <v>0.63082336583803167</v>
      </c>
      <c r="AW74" s="95">
        <f>GEOMEAN(AV74:AV74)</f>
        <v>0.63082336583803167</v>
      </c>
      <c r="AX74" s="96">
        <f>MIN(AW74)</f>
        <v>0.63082336583803167</v>
      </c>
      <c r="AY74" s="153">
        <f>MIN(AX74)</f>
        <v>0.63082336583803167</v>
      </c>
    </row>
    <row r="75" spans="1:52" x14ac:dyDescent="0.2">
      <c r="A75" s="19" t="s">
        <v>144</v>
      </c>
      <c r="B75" s="9">
        <v>253</v>
      </c>
      <c r="C75" s="10" t="s">
        <v>24</v>
      </c>
      <c r="D75" s="11" t="s">
        <v>139</v>
      </c>
      <c r="E75" s="9" t="s">
        <v>121</v>
      </c>
      <c r="F75" s="9" t="s">
        <v>127</v>
      </c>
      <c r="G75" s="9" t="s">
        <v>52</v>
      </c>
      <c r="H75" s="9" t="s">
        <v>571</v>
      </c>
      <c r="I75" s="12" t="s">
        <v>140</v>
      </c>
      <c r="J75" s="12" t="s">
        <v>53</v>
      </c>
      <c r="K75" s="12" t="s">
        <v>53</v>
      </c>
      <c r="L75" s="12" t="s">
        <v>31</v>
      </c>
      <c r="M75" s="12">
        <v>28</v>
      </c>
      <c r="N75" s="9" t="s">
        <v>55</v>
      </c>
      <c r="O75" s="13" t="s">
        <v>33</v>
      </c>
      <c r="P75" s="14" t="s">
        <v>141</v>
      </c>
      <c r="Q75" s="9">
        <v>20</v>
      </c>
      <c r="R75" s="9">
        <v>20</v>
      </c>
      <c r="S75" s="9" t="s">
        <v>142</v>
      </c>
      <c r="T75" s="9">
        <v>8.26</v>
      </c>
      <c r="U75" s="9">
        <v>6.718</v>
      </c>
      <c r="V75" s="9">
        <v>0.54</v>
      </c>
      <c r="W75" s="9" t="s">
        <v>37</v>
      </c>
      <c r="X75" s="9">
        <v>36.299999999999997</v>
      </c>
      <c r="Y75" s="9">
        <v>0.54</v>
      </c>
      <c r="Z75" s="15">
        <f t="shared" si="88"/>
        <v>1.9610361754850452</v>
      </c>
      <c r="AA75" s="15">
        <f t="shared" si="102"/>
        <v>2.8872580788894751</v>
      </c>
      <c r="AC75" s="16">
        <f t="shared" si="89"/>
        <v>0.26791683248190312</v>
      </c>
      <c r="AD75" s="26">
        <f t="shared" si="90"/>
        <v>3.7325015779572066</v>
      </c>
      <c r="AE75" s="51">
        <v>14</v>
      </c>
      <c r="AF75" s="85" t="str">
        <f t="shared" si="91"/>
        <v>EC10</v>
      </c>
      <c r="AG75" s="9">
        <f t="shared" si="92"/>
        <v>1</v>
      </c>
      <c r="AH75" s="18">
        <f t="shared" si="93"/>
        <v>2.8872580788894751</v>
      </c>
      <c r="AI75" s="88" t="str">
        <f t="shared" si="94"/>
        <v>Chronic</v>
      </c>
      <c r="AJ75" s="9">
        <f t="shared" si="95"/>
        <v>1</v>
      </c>
      <c r="AK75" s="18">
        <f t="shared" si="96"/>
        <v>2.8872580788894751</v>
      </c>
      <c r="AM75" s="101" t="str">
        <f t="shared" si="97"/>
        <v>EC10</v>
      </c>
      <c r="AN75" s="102" t="s">
        <v>356</v>
      </c>
      <c r="AO75" s="103" t="str">
        <f t="shared" si="98"/>
        <v>Chronic</v>
      </c>
      <c r="AP75" s="102" t="str">
        <f t="shared" si="103"/>
        <v>y</v>
      </c>
      <c r="AQ75" s="104" t="str">
        <f t="shared" si="99"/>
        <v>Mortality</v>
      </c>
      <c r="AR75" s="196" t="s">
        <v>459</v>
      </c>
      <c r="AS75" s="105">
        <f t="shared" si="100"/>
        <v>28</v>
      </c>
      <c r="AT75" s="158" t="s">
        <v>460</v>
      </c>
      <c r="AU75" s="197"/>
      <c r="AV75" s="154">
        <f t="shared" ref="AV75:AV78" si="106">AK75</f>
        <v>2.8872580788894751</v>
      </c>
      <c r="AW75" s="155"/>
      <c r="AX75" s="197"/>
      <c r="AY75" s="198"/>
    </row>
    <row r="76" spans="1:52" x14ac:dyDescent="0.2">
      <c r="A76" s="19" t="s">
        <v>146</v>
      </c>
      <c r="B76" s="9">
        <v>254</v>
      </c>
      <c r="C76" s="10" t="s">
        <v>24</v>
      </c>
      <c r="D76" s="11" t="s">
        <v>139</v>
      </c>
      <c r="E76" s="9" t="s">
        <v>121</v>
      </c>
      <c r="F76" s="9" t="s">
        <v>127</v>
      </c>
      <c r="G76" s="9" t="s">
        <v>52</v>
      </c>
      <c r="H76" s="9" t="s">
        <v>571</v>
      </c>
      <c r="I76" s="12" t="s">
        <v>140</v>
      </c>
      <c r="J76" s="12" t="s">
        <v>53</v>
      </c>
      <c r="K76" s="12" t="s">
        <v>53</v>
      </c>
      <c r="L76" s="12" t="s">
        <v>133</v>
      </c>
      <c r="M76" s="12">
        <v>28</v>
      </c>
      <c r="N76" s="9" t="s">
        <v>55</v>
      </c>
      <c r="O76" s="13" t="s">
        <v>33</v>
      </c>
      <c r="P76" s="14" t="s">
        <v>129</v>
      </c>
      <c r="Q76" s="9" t="s">
        <v>130</v>
      </c>
      <c r="R76" s="9">
        <v>20</v>
      </c>
      <c r="S76" s="9" t="s">
        <v>131</v>
      </c>
      <c r="T76" s="9">
        <v>8.1999999999999993</v>
      </c>
      <c r="U76" s="9">
        <v>5.9020000000000001</v>
      </c>
      <c r="V76" s="9" t="s">
        <v>134</v>
      </c>
      <c r="W76" s="9" t="s">
        <v>37</v>
      </c>
      <c r="X76" s="9">
        <v>7.67</v>
      </c>
      <c r="Y76" s="9">
        <v>0.13</v>
      </c>
      <c r="Z76" s="15">
        <f t="shared" si="88"/>
        <v>0.4284575216169903</v>
      </c>
      <c r="AA76" s="15">
        <f t="shared" si="102"/>
        <v>0.63082336583803167</v>
      </c>
      <c r="AB76" t="s">
        <v>577</v>
      </c>
      <c r="AC76" s="16">
        <f t="shared" si="89"/>
        <v>0.30760968147407108</v>
      </c>
      <c r="AD76" s="26">
        <f t="shared" si="90"/>
        <v>3.2508729738543409</v>
      </c>
      <c r="AE76" s="51">
        <v>14</v>
      </c>
      <c r="AF76" s="85" t="str">
        <f t="shared" si="91"/>
        <v>IC10</v>
      </c>
      <c r="AG76" s="9">
        <f t="shared" si="92"/>
        <v>1</v>
      </c>
      <c r="AH76" s="18">
        <f t="shared" si="93"/>
        <v>0.63082336583803167</v>
      </c>
      <c r="AI76" s="88" t="str">
        <f t="shared" si="94"/>
        <v>Chronic</v>
      </c>
      <c r="AJ76" s="9">
        <f t="shared" si="95"/>
        <v>1</v>
      </c>
      <c r="AK76" s="18">
        <f t="shared" si="96"/>
        <v>0.63082336583803167</v>
      </c>
      <c r="AL76" s="16"/>
      <c r="AM76" s="110" t="str">
        <f t="shared" si="97"/>
        <v>IC10</v>
      </c>
      <c r="AN76" s="111" t="s">
        <v>356</v>
      </c>
      <c r="AO76" s="112" t="str">
        <f t="shared" si="98"/>
        <v>Chronic</v>
      </c>
      <c r="AP76" s="111" t="str">
        <f t="shared" si="103"/>
        <v>y</v>
      </c>
      <c r="AQ76" s="134" t="str">
        <f t="shared" si="99"/>
        <v>Mortality</v>
      </c>
      <c r="AR76" s="199" t="s">
        <v>459</v>
      </c>
      <c r="AS76" s="114">
        <f t="shared" si="100"/>
        <v>28</v>
      </c>
      <c r="AT76" s="199" t="s">
        <v>460</v>
      </c>
      <c r="AU76" s="200"/>
      <c r="AV76" s="152">
        <f t="shared" si="106"/>
        <v>0.63082336583803167</v>
      </c>
      <c r="AW76" s="140">
        <f>GEOMEAN(AV75:AV76)</f>
        <v>1.3495739547605785</v>
      </c>
      <c r="AX76" s="141">
        <f>MIN(AW76)</f>
        <v>1.3495739547605785</v>
      </c>
      <c r="AY76" s="142">
        <f>MIN(AX76:AX76)</f>
        <v>1.3495739547605785</v>
      </c>
    </row>
    <row r="77" spans="1:52" x14ac:dyDescent="0.2">
      <c r="A77" s="32" t="s">
        <v>148</v>
      </c>
      <c r="B77" s="33">
        <v>256</v>
      </c>
      <c r="C77" s="38" t="s">
        <v>24</v>
      </c>
      <c r="D77" s="35" t="s">
        <v>149</v>
      </c>
      <c r="E77" s="33" t="s">
        <v>121</v>
      </c>
      <c r="F77" s="33" t="s">
        <v>127</v>
      </c>
      <c r="G77" s="33" t="s">
        <v>52</v>
      </c>
      <c r="H77" s="33" t="s">
        <v>571</v>
      </c>
      <c r="I77" s="33" t="s">
        <v>37</v>
      </c>
      <c r="J77" s="36" t="s">
        <v>53</v>
      </c>
      <c r="K77" s="36" t="s">
        <v>53</v>
      </c>
      <c r="L77" s="36" t="s">
        <v>54</v>
      </c>
      <c r="M77" s="36">
        <v>6</v>
      </c>
      <c r="N77" s="33" t="s">
        <v>102</v>
      </c>
      <c r="O77" s="37" t="s">
        <v>33</v>
      </c>
      <c r="P77" s="38" t="s">
        <v>150</v>
      </c>
      <c r="Q77" s="33" t="s">
        <v>151</v>
      </c>
      <c r="R77" s="33">
        <v>21.8</v>
      </c>
      <c r="S77" s="33" t="s">
        <v>152</v>
      </c>
      <c r="T77" s="33">
        <v>7.8</v>
      </c>
      <c r="U77" s="33">
        <v>2.7679999999999998</v>
      </c>
      <c r="V77" s="33" t="s">
        <v>37</v>
      </c>
      <c r="W77" s="33">
        <v>30</v>
      </c>
      <c r="X77" s="33">
        <v>30</v>
      </c>
      <c r="Y77" s="40">
        <f t="shared" ref="Y77" si="107">X77/((U77/100)*1000)</f>
        <v>1.0838150289017343</v>
      </c>
      <c r="Z77" s="40">
        <f t="shared" si="88"/>
        <v>2.0127302212112239</v>
      </c>
      <c r="AA77" s="40">
        <f t="shared" si="102"/>
        <v>3.3280172415864659</v>
      </c>
      <c r="AB77" s="16"/>
      <c r="AC77" s="16">
        <f t="shared" si="89"/>
        <v>0.77268058509570214</v>
      </c>
      <c r="AD77" s="26">
        <f t="shared" si="90"/>
        <v>1.2941958414499863</v>
      </c>
      <c r="AE77" s="51">
        <v>14</v>
      </c>
      <c r="AF77" s="85" t="str">
        <f t="shared" si="91"/>
        <v>NOEC</v>
      </c>
      <c r="AG77" s="9">
        <f t="shared" si="92"/>
        <v>1</v>
      </c>
      <c r="AH77" s="18">
        <f t="shared" si="93"/>
        <v>3.3280172415864659</v>
      </c>
      <c r="AI77" s="88" t="str">
        <f t="shared" si="94"/>
        <v>Chronic</v>
      </c>
      <c r="AJ77" s="9">
        <f t="shared" si="95"/>
        <v>1</v>
      </c>
      <c r="AK77" s="18">
        <f t="shared" si="96"/>
        <v>3.3280172415864659</v>
      </c>
      <c r="AL77" s="16"/>
      <c r="AM77" s="101" t="str">
        <f t="shared" si="97"/>
        <v>NOEC</v>
      </c>
      <c r="AN77" s="102" t="s">
        <v>356</v>
      </c>
      <c r="AO77" s="103" t="str">
        <f t="shared" si="98"/>
        <v>Chronic</v>
      </c>
      <c r="AP77" s="102" t="str">
        <f t="shared" si="103"/>
        <v>y</v>
      </c>
      <c r="AQ77" s="104" t="str">
        <f t="shared" si="99"/>
        <v>Mortality</v>
      </c>
      <c r="AR77" s="102" t="s">
        <v>459</v>
      </c>
      <c r="AS77" s="105">
        <f t="shared" si="100"/>
        <v>6</v>
      </c>
      <c r="AT77" s="102" t="s">
        <v>460</v>
      </c>
      <c r="AU77" s="102"/>
      <c r="AV77" s="154">
        <f t="shared" si="106"/>
        <v>3.3280172415864659</v>
      </c>
      <c r="AW77" s="118">
        <f>GEOMEAN(AV77)</f>
        <v>3.3280172415864659</v>
      </c>
      <c r="AX77" s="119">
        <f>MIN(AW77:AW77)</f>
        <v>3.3280172415864659</v>
      </c>
      <c r="AY77" s="126">
        <f>MIN(AX77)</f>
        <v>3.3280172415864659</v>
      </c>
    </row>
    <row r="78" spans="1:52" x14ac:dyDescent="0.2">
      <c r="A78" s="8" t="s">
        <v>168</v>
      </c>
      <c r="B78" s="9">
        <v>242</v>
      </c>
      <c r="C78" s="10" t="s">
        <v>24</v>
      </c>
      <c r="D78" s="11" t="s">
        <v>155</v>
      </c>
      <c r="E78" s="9" t="s">
        <v>121</v>
      </c>
      <c r="F78" s="9" t="s">
        <v>127</v>
      </c>
      <c r="G78" s="9" t="s">
        <v>52</v>
      </c>
      <c r="H78" s="9" t="s">
        <v>571</v>
      </c>
      <c r="I78" s="12" t="s">
        <v>156</v>
      </c>
      <c r="J78" s="12" t="s">
        <v>136</v>
      </c>
      <c r="K78" s="12" t="s">
        <v>169</v>
      </c>
      <c r="L78" s="12" t="s">
        <v>54</v>
      </c>
      <c r="M78" s="12">
        <v>60</v>
      </c>
      <c r="N78" s="9" t="s">
        <v>55</v>
      </c>
      <c r="O78" s="13" t="s">
        <v>33</v>
      </c>
      <c r="P78" s="14" t="s">
        <v>157</v>
      </c>
      <c r="Q78" s="9">
        <v>20</v>
      </c>
      <c r="R78" s="9">
        <v>20</v>
      </c>
      <c r="S78" s="28" t="s">
        <v>158</v>
      </c>
      <c r="T78" s="28">
        <v>7.73</v>
      </c>
      <c r="U78" s="26" t="s">
        <v>170</v>
      </c>
      <c r="V78" s="9">
        <v>0.65</v>
      </c>
      <c r="W78" s="9">
        <v>12</v>
      </c>
      <c r="X78" s="9">
        <v>12</v>
      </c>
      <c r="Y78" s="9">
        <v>0.65</v>
      </c>
      <c r="Z78" s="15">
        <f t="shared" si="88"/>
        <v>1.1105489745328638</v>
      </c>
      <c r="AA78" s="15">
        <f t="shared" si="102"/>
        <v>1.6350751397685706</v>
      </c>
      <c r="AC78" s="16">
        <f t="shared" si="89"/>
        <v>0.90782053017818432</v>
      </c>
      <c r="AD78" s="26">
        <f t="shared" si="90"/>
        <v>1.1015393095414168</v>
      </c>
      <c r="AE78" s="51">
        <v>14</v>
      </c>
      <c r="AF78" s="85" t="str">
        <f t="shared" si="91"/>
        <v>NOEC</v>
      </c>
      <c r="AG78" s="9">
        <f t="shared" si="92"/>
        <v>1</v>
      </c>
      <c r="AH78" s="18">
        <f t="shared" si="93"/>
        <v>1.6350751397685706</v>
      </c>
      <c r="AI78" s="88" t="str">
        <f t="shared" si="94"/>
        <v>Chronic</v>
      </c>
      <c r="AJ78" s="9">
        <f t="shared" si="95"/>
        <v>1</v>
      </c>
      <c r="AK78" s="18">
        <f t="shared" si="96"/>
        <v>1.6350751397685706</v>
      </c>
      <c r="AL78" s="16"/>
      <c r="AM78" s="110" t="str">
        <f t="shared" si="97"/>
        <v>NOEC</v>
      </c>
      <c r="AN78" s="111" t="s">
        <v>356</v>
      </c>
      <c r="AO78" s="112" t="str">
        <f t="shared" si="98"/>
        <v>Chronic</v>
      </c>
      <c r="AP78" s="111" t="str">
        <f t="shared" si="103"/>
        <v>y</v>
      </c>
      <c r="AQ78" s="134" t="str">
        <f t="shared" si="99"/>
        <v>Length</v>
      </c>
      <c r="AR78" s="111" t="s">
        <v>475</v>
      </c>
      <c r="AS78" s="114">
        <f t="shared" si="100"/>
        <v>60</v>
      </c>
      <c r="AT78" s="111" t="s">
        <v>476</v>
      </c>
      <c r="AU78" s="111"/>
      <c r="AV78" s="152">
        <f t="shared" si="106"/>
        <v>1.6350751397685706</v>
      </c>
      <c r="AW78" s="140">
        <f>GEOMEAN(AV78)</f>
        <v>1.6350751397685706</v>
      </c>
      <c r="AX78" s="141">
        <f>MIN(AW78)</f>
        <v>1.6350751397685706</v>
      </c>
      <c r="AY78" s="142">
        <f>MIN(AX78:AX78)</f>
        <v>1.6350751397685706</v>
      </c>
    </row>
    <row r="79" spans="1:52" x14ac:dyDescent="0.2">
      <c r="A79" s="32" t="s">
        <v>176</v>
      </c>
      <c r="B79" s="33">
        <v>254</v>
      </c>
      <c r="C79" s="34" t="s">
        <v>24</v>
      </c>
      <c r="D79" s="35" t="s">
        <v>172</v>
      </c>
      <c r="E79" s="33" t="s">
        <v>121</v>
      </c>
      <c r="F79" s="33" t="s">
        <v>127</v>
      </c>
      <c r="G79" s="33" t="s">
        <v>52</v>
      </c>
      <c r="H79" s="33" t="s">
        <v>571</v>
      </c>
      <c r="I79" s="36" t="s">
        <v>128</v>
      </c>
      <c r="J79" s="36" t="s">
        <v>177</v>
      </c>
      <c r="K79" s="36" t="s">
        <v>137</v>
      </c>
      <c r="L79" s="36" t="s">
        <v>133</v>
      </c>
      <c r="M79" s="36">
        <v>28</v>
      </c>
      <c r="N79" s="33" t="s">
        <v>55</v>
      </c>
      <c r="O79" s="37" t="s">
        <v>33</v>
      </c>
      <c r="P79" s="38" t="s">
        <v>129</v>
      </c>
      <c r="Q79" s="33" t="s">
        <v>130</v>
      </c>
      <c r="R79" s="33">
        <v>20</v>
      </c>
      <c r="S79" s="33" t="s">
        <v>131</v>
      </c>
      <c r="T79" s="33">
        <v>8.1999999999999993</v>
      </c>
      <c r="U79" s="33">
        <v>5.9020000000000001</v>
      </c>
      <c r="V79" s="33" t="s">
        <v>175</v>
      </c>
      <c r="W79" s="33" t="s">
        <v>37</v>
      </c>
      <c r="X79" s="33">
        <v>23.6</v>
      </c>
      <c r="Y79" s="33">
        <v>0.4</v>
      </c>
      <c r="Z79" s="40">
        <f t="shared" si="88"/>
        <v>1.3183308357445855</v>
      </c>
      <c r="AA79" s="40">
        <f t="shared" si="102"/>
        <v>2.512027620790966</v>
      </c>
      <c r="AB79" t="s">
        <v>577</v>
      </c>
      <c r="AC79" s="16">
        <f t="shared" si="89"/>
        <v>0.30760968147407108</v>
      </c>
      <c r="AD79" s="26">
        <f t="shared" si="90"/>
        <v>3.2508729738543409</v>
      </c>
      <c r="AE79" s="51">
        <v>10</v>
      </c>
      <c r="AF79" s="85" t="str">
        <f t="shared" si="91"/>
        <v>IC10</v>
      </c>
      <c r="AG79" s="9">
        <f t="shared" si="92"/>
        <v>1</v>
      </c>
      <c r="AH79" s="18">
        <f t="shared" si="93"/>
        <v>2.512027620790966</v>
      </c>
      <c r="AI79" s="88" t="str">
        <f t="shared" si="94"/>
        <v>Chronic</v>
      </c>
      <c r="AJ79" s="9">
        <f t="shared" si="95"/>
        <v>1</v>
      </c>
      <c r="AK79" s="18">
        <f t="shared" si="96"/>
        <v>2.512027620790966</v>
      </c>
      <c r="AL79" s="16"/>
      <c r="AM79" s="110" t="str">
        <f t="shared" si="97"/>
        <v>IC10</v>
      </c>
      <c r="AN79" s="111" t="s">
        <v>356</v>
      </c>
      <c r="AO79" s="112" t="str">
        <f t="shared" si="98"/>
        <v>Chronic</v>
      </c>
      <c r="AP79" s="111" t="str">
        <f t="shared" si="103"/>
        <v>y</v>
      </c>
      <c r="AQ79" s="134" t="str">
        <f t="shared" si="99"/>
        <v>Shell length</v>
      </c>
      <c r="AR79" s="111" t="s">
        <v>473</v>
      </c>
      <c r="AS79" s="114">
        <f t="shared" si="100"/>
        <v>28</v>
      </c>
      <c r="AT79" s="111" t="s">
        <v>474</v>
      </c>
      <c r="AU79" s="111"/>
      <c r="AV79" s="152">
        <f>AK79</f>
        <v>2.512027620790966</v>
      </c>
      <c r="AW79" s="140">
        <f>GEOMEAN(AV79)</f>
        <v>2.512027620790966</v>
      </c>
      <c r="AX79" s="141">
        <f>MIN(AW79)</f>
        <v>2.512027620790966</v>
      </c>
      <c r="AY79" s="142">
        <f>MIN(AX79:AX79)</f>
        <v>2.512027620790966</v>
      </c>
    </row>
    <row r="80" spans="1:52" x14ac:dyDescent="0.2">
      <c r="A80" s="193" t="s">
        <v>603</v>
      </c>
    </row>
    <row r="81" spans="1:52" x14ac:dyDescent="0.2">
      <c r="A81" s="32" t="s">
        <v>48</v>
      </c>
      <c r="B81" s="33">
        <v>236</v>
      </c>
      <c r="C81" s="34" t="s">
        <v>24</v>
      </c>
      <c r="D81" s="35" t="s">
        <v>49</v>
      </c>
      <c r="E81" s="33" t="s">
        <v>50</v>
      </c>
      <c r="F81" s="33" t="s">
        <v>51</v>
      </c>
      <c r="G81" s="33" t="s">
        <v>52</v>
      </c>
      <c r="H81" s="33" t="s">
        <v>571</v>
      </c>
      <c r="I81" s="36" t="s">
        <v>37</v>
      </c>
      <c r="J81" s="36" t="s">
        <v>53</v>
      </c>
      <c r="K81" s="36" t="s">
        <v>53</v>
      </c>
      <c r="L81" s="36" t="s">
        <v>54</v>
      </c>
      <c r="M81" s="36">
        <v>30</v>
      </c>
      <c r="N81" s="33" t="s">
        <v>55</v>
      </c>
      <c r="O81" s="37" t="s">
        <v>33</v>
      </c>
      <c r="P81" s="38" t="s">
        <v>56</v>
      </c>
      <c r="Q81" s="33" t="s">
        <v>57</v>
      </c>
      <c r="R81" s="40">
        <v>15.1</v>
      </c>
      <c r="S81" s="33" t="s">
        <v>58</v>
      </c>
      <c r="T81" s="33">
        <v>8.11</v>
      </c>
      <c r="U81" s="33">
        <v>3.42</v>
      </c>
      <c r="V81" s="33" t="s">
        <v>37</v>
      </c>
      <c r="W81" s="33">
        <v>20</v>
      </c>
      <c r="X81" s="40">
        <v>20</v>
      </c>
      <c r="Y81" s="40">
        <f t="shared" ref="Y81:Y85" si="108">X81/((U81/100)*1000)</f>
        <v>0.58479532163742687</v>
      </c>
      <c r="Z81" s="40">
        <f t="shared" ref="Z81:Z94" si="109">Y81/((0.0278/(1+AC81))+(1.1994/(1+AD81)))</f>
        <v>1.6734482467670493</v>
      </c>
      <c r="AA81" s="40">
        <f>POWER(10,LOG(Z81)-(-0.028*(R81-AE81)))</f>
        <v>1.6842722212082384</v>
      </c>
      <c r="AC81" s="16">
        <f t="shared" ref="AC81:AC94" si="110">POWER(10,7.688-T81)</f>
        <v>0.37844258471709358</v>
      </c>
      <c r="AD81" s="26">
        <f t="shared" ref="AD81:AD94" si="111">POWER(10,T81-7.688)</f>
        <v>2.6424087573219448</v>
      </c>
      <c r="AE81" s="51">
        <v>15</v>
      </c>
      <c r="AF81" s="85" t="str">
        <f t="shared" ref="AF81:AF94" si="112">L81</f>
        <v>NOEC</v>
      </c>
      <c r="AG81" s="9">
        <f t="shared" ref="AG81:AG94" si="113">VLOOKUP(AF81,$BD$6:$BE$17,2,FALSE)</f>
        <v>1</v>
      </c>
      <c r="AH81" s="18">
        <f t="shared" ref="AH81:AH94" si="114">AA81/AG81</f>
        <v>1.6842722212082384</v>
      </c>
      <c r="AI81" s="88" t="str">
        <f t="shared" ref="AI81:AI94" si="115">O81</f>
        <v>Chronic</v>
      </c>
      <c r="AJ81" s="9">
        <f t="shared" ref="AJ81:AJ94" si="116">VLOOKUP(AI81,$BD$19:$BF$20,2,FALSE)</f>
        <v>1</v>
      </c>
      <c r="AK81" s="18">
        <f t="shared" ref="AK81:AK94" si="117">AH81/AJ81</f>
        <v>1.6842722212082384</v>
      </c>
      <c r="AL81" s="16"/>
      <c r="AM81" s="127" t="str">
        <f t="shared" ref="AM81:AM94" si="118">L81</f>
        <v>NOEC</v>
      </c>
      <c r="AN81" s="128" t="s">
        <v>356</v>
      </c>
      <c r="AO81" s="129" t="str">
        <f t="shared" ref="AO81:AO94" si="119">O81</f>
        <v>Chronic</v>
      </c>
      <c r="AP81" s="128" t="str">
        <f>IF(AO81="chronic","y","n")</f>
        <v>y</v>
      </c>
      <c r="AQ81" s="130" t="str">
        <f t="shared" ref="AQ81:AQ94" si="120">K81</f>
        <v>Mortality</v>
      </c>
      <c r="AR81" s="128" t="s">
        <v>459</v>
      </c>
      <c r="AS81" s="131">
        <f t="shared" ref="AS81:AS94" si="121">M81</f>
        <v>30</v>
      </c>
      <c r="AT81" s="128" t="s">
        <v>460</v>
      </c>
      <c r="AU81" s="128"/>
      <c r="AV81" s="189">
        <f t="shared" ref="AV81:AV87" si="122">AK81</f>
        <v>1.6842722212082384</v>
      </c>
      <c r="AW81" s="144">
        <f>GEOMEAN(AV81)</f>
        <v>1.6842722212082384</v>
      </c>
      <c r="AX81" s="148">
        <f>MIN(AW81)</f>
        <v>1.6842722212082384</v>
      </c>
      <c r="AY81" s="149">
        <f>MIN(AX81)</f>
        <v>1.6842722212082384</v>
      </c>
      <c r="AZ81" s="206" t="str">
        <f>A80</f>
        <v>15°C</v>
      </c>
    </row>
    <row r="82" spans="1:52" x14ac:dyDescent="0.2">
      <c r="A82" s="19" t="s">
        <v>59</v>
      </c>
      <c r="B82" s="9">
        <v>245</v>
      </c>
      <c r="C82" s="10" t="s">
        <v>24</v>
      </c>
      <c r="D82" s="11" t="s">
        <v>60</v>
      </c>
      <c r="E82" s="20" t="s">
        <v>61</v>
      </c>
      <c r="F82" s="9" t="s">
        <v>62</v>
      </c>
      <c r="G82" s="9" t="s">
        <v>52</v>
      </c>
      <c r="H82" s="9" t="s">
        <v>571</v>
      </c>
      <c r="I82" s="12" t="s">
        <v>63</v>
      </c>
      <c r="J82" s="12" t="s">
        <v>64</v>
      </c>
      <c r="K82" s="12" t="s">
        <v>64</v>
      </c>
      <c r="L82" s="12" t="s">
        <v>54</v>
      </c>
      <c r="M82" s="12">
        <v>7</v>
      </c>
      <c r="N82" s="9" t="s">
        <v>55</v>
      </c>
      <c r="O82" s="21" t="s">
        <v>33</v>
      </c>
      <c r="P82" s="14" t="s">
        <v>65</v>
      </c>
      <c r="Q82" s="9">
        <v>25</v>
      </c>
      <c r="R82" s="9">
        <v>25</v>
      </c>
      <c r="S82" s="22">
        <v>8</v>
      </c>
      <c r="T82" s="22">
        <v>8</v>
      </c>
      <c r="U82" s="20">
        <v>5.3659999999999997</v>
      </c>
      <c r="V82" s="20" t="s">
        <v>37</v>
      </c>
      <c r="W82" s="20">
        <v>680</v>
      </c>
      <c r="X82" s="9">
        <v>680</v>
      </c>
      <c r="Y82" s="27">
        <f t="shared" si="108"/>
        <v>12.672381662318301</v>
      </c>
      <c r="Z82" s="15">
        <f t="shared" si="109"/>
        <v>30.774279778328605</v>
      </c>
      <c r="AA82" s="15">
        <f t="shared" ref="AA82:AA94" si="123">POWER(10,LOG(Z82)-(-0.028*(R82-AE82)))</f>
        <v>58.639181241215873</v>
      </c>
      <c r="AC82" s="16">
        <f t="shared" si="110"/>
        <v>0.48752849010338595</v>
      </c>
      <c r="AD82" s="26">
        <f t="shared" si="111"/>
        <v>2.051162178825567</v>
      </c>
      <c r="AE82" s="51">
        <v>15</v>
      </c>
      <c r="AF82" s="85" t="str">
        <f t="shared" si="112"/>
        <v>NOEC</v>
      </c>
      <c r="AG82" s="9">
        <f t="shared" si="113"/>
        <v>1</v>
      </c>
      <c r="AH82" s="18">
        <f t="shared" si="114"/>
        <v>58.639181241215873</v>
      </c>
      <c r="AI82" s="88" t="str">
        <f t="shared" si="115"/>
        <v>Chronic</v>
      </c>
      <c r="AJ82" s="9">
        <f t="shared" si="116"/>
        <v>1</v>
      </c>
      <c r="AK82" s="18">
        <f t="shared" si="117"/>
        <v>58.639181241215873</v>
      </c>
      <c r="AL82" s="16"/>
      <c r="AM82" s="101" t="str">
        <f t="shared" si="118"/>
        <v>NOEC</v>
      </c>
      <c r="AN82" s="102" t="s">
        <v>356</v>
      </c>
      <c r="AO82" s="103" t="str">
        <f t="shared" si="119"/>
        <v>Chronic</v>
      </c>
      <c r="AP82" s="102" t="str">
        <f t="shared" ref="AP82:AP94" si="124">IF(AO82="chronic","y","n")</f>
        <v>y</v>
      </c>
      <c r="AQ82" s="104" t="str">
        <f t="shared" si="120"/>
        <v>Reproduction</v>
      </c>
      <c r="AR82" s="102" t="s">
        <v>459</v>
      </c>
      <c r="AS82" s="105">
        <f t="shared" si="121"/>
        <v>7</v>
      </c>
      <c r="AT82" s="102" t="s">
        <v>460</v>
      </c>
      <c r="AU82" s="102"/>
      <c r="AV82" s="106">
        <f t="shared" si="122"/>
        <v>58.639181241215873</v>
      </c>
      <c r="AW82" s="107">
        <f>GEOMEAN(AV82:AV82)</f>
        <v>58.639181241215873</v>
      </c>
      <c r="AX82" s="108">
        <f>MIN(AW82:AW82)</f>
        <v>58.639181241215873</v>
      </c>
      <c r="AY82" s="109">
        <f>MIN(AX82)</f>
        <v>58.639181241215873</v>
      </c>
    </row>
    <row r="83" spans="1:52" x14ac:dyDescent="0.2">
      <c r="A83" s="32" t="s">
        <v>82</v>
      </c>
      <c r="B83" s="33">
        <v>240</v>
      </c>
      <c r="C83" s="34" t="s">
        <v>24</v>
      </c>
      <c r="D83" s="35" t="s">
        <v>77</v>
      </c>
      <c r="E83" s="33" t="s">
        <v>61</v>
      </c>
      <c r="F83" s="33" t="s">
        <v>62</v>
      </c>
      <c r="G83" s="33" t="s">
        <v>52</v>
      </c>
      <c r="H83" s="33" t="s">
        <v>571</v>
      </c>
      <c r="I83" s="36" t="s">
        <v>78</v>
      </c>
      <c r="J83" s="36" t="s">
        <v>83</v>
      </c>
      <c r="K83" s="36" t="s">
        <v>84</v>
      </c>
      <c r="L83" s="36" t="s">
        <v>54</v>
      </c>
      <c r="M83" s="36">
        <v>21</v>
      </c>
      <c r="N83" s="33" t="s">
        <v>55</v>
      </c>
      <c r="O83" s="37" t="s">
        <v>33</v>
      </c>
      <c r="P83" s="38" t="s">
        <v>79</v>
      </c>
      <c r="Q83" s="33" t="s">
        <v>80</v>
      </c>
      <c r="R83" s="40">
        <v>19.8</v>
      </c>
      <c r="S83" s="33" t="s">
        <v>81</v>
      </c>
      <c r="T83" s="33">
        <v>8.4499999999999993</v>
      </c>
      <c r="U83" s="33">
        <v>9.9039999999999999</v>
      </c>
      <c r="V83" s="44" t="s">
        <v>37</v>
      </c>
      <c r="W83" s="44" t="s">
        <v>37</v>
      </c>
      <c r="X83" s="33">
        <v>420</v>
      </c>
      <c r="Y83" s="40">
        <f t="shared" si="108"/>
        <v>4.2407108239095308</v>
      </c>
      <c r="Z83" s="40">
        <f t="shared" si="109"/>
        <v>21.142464693435951</v>
      </c>
      <c r="AA83" s="40">
        <f t="shared" si="123"/>
        <v>28.810819660237566</v>
      </c>
      <c r="AC83" s="16">
        <f t="shared" si="110"/>
        <v>0.17298163592151028</v>
      </c>
      <c r="AD83" s="26">
        <f t="shared" si="111"/>
        <v>5.7809604740571769</v>
      </c>
      <c r="AE83" s="51">
        <v>15</v>
      </c>
      <c r="AF83" s="85" t="str">
        <f t="shared" si="112"/>
        <v>NOEC</v>
      </c>
      <c r="AG83" s="9">
        <f t="shared" si="113"/>
        <v>1</v>
      </c>
      <c r="AH83" s="18">
        <f t="shared" si="114"/>
        <v>28.810819660237566</v>
      </c>
      <c r="AI83" s="88" t="str">
        <f t="shared" si="115"/>
        <v>Chronic</v>
      </c>
      <c r="AJ83" s="9">
        <f t="shared" si="116"/>
        <v>1</v>
      </c>
      <c r="AK83" s="18">
        <f t="shared" si="117"/>
        <v>28.810819660237566</v>
      </c>
      <c r="AL83" s="16"/>
      <c r="AM83" s="101" t="str">
        <f t="shared" si="118"/>
        <v>NOEC</v>
      </c>
      <c r="AN83" s="102" t="s">
        <v>356</v>
      </c>
      <c r="AO83" s="103" t="str">
        <f t="shared" si="119"/>
        <v>Chronic</v>
      </c>
      <c r="AP83" s="102" t="str">
        <f t="shared" si="124"/>
        <v>y</v>
      </c>
      <c r="AQ83" s="104" t="str">
        <f t="shared" si="120"/>
        <v>Mean total young/daphnid</v>
      </c>
      <c r="AR83" s="102" t="s">
        <v>459</v>
      </c>
      <c r="AS83" s="105">
        <f t="shared" si="121"/>
        <v>21</v>
      </c>
      <c r="AT83" s="102" t="s">
        <v>460</v>
      </c>
      <c r="AU83" s="102"/>
      <c r="AV83" s="147">
        <f t="shared" si="122"/>
        <v>28.810819660237566</v>
      </c>
      <c r="AW83" s="107">
        <f>GEOMEAN(AV83:AV83)</f>
        <v>28.810819660237566</v>
      </c>
      <c r="AX83" s="108">
        <f>MIN(AW83)</f>
        <v>28.810819660237566</v>
      </c>
      <c r="AY83" s="109"/>
    </row>
    <row r="84" spans="1:52" x14ac:dyDescent="0.2">
      <c r="A84" s="32" t="s">
        <v>87</v>
      </c>
      <c r="B84" s="33">
        <v>240</v>
      </c>
      <c r="C84" s="34" t="s">
        <v>24</v>
      </c>
      <c r="D84" s="35" t="s">
        <v>77</v>
      </c>
      <c r="E84" s="33" t="s">
        <v>61</v>
      </c>
      <c r="F84" s="33" t="s">
        <v>62</v>
      </c>
      <c r="G84" s="33" t="s">
        <v>52</v>
      </c>
      <c r="H84" s="33" t="s">
        <v>571</v>
      </c>
      <c r="I84" s="36" t="s">
        <v>78</v>
      </c>
      <c r="J84" s="36" t="s">
        <v>83</v>
      </c>
      <c r="K84" s="36" t="s">
        <v>88</v>
      </c>
      <c r="L84" s="36" t="s">
        <v>54</v>
      </c>
      <c r="M84" s="36">
        <v>21</v>
      </c>
      <c r="N84" s="33" t="s">
        <v>55</v>
      </c>
      <c r="O84" s="37" t="s">
        <v>33</v>
      </c>
      <c r="P84" s="38" t="s">
        <v>79</v>
      </c>
      <c r="Q84" s="33" t="s">
        <v>80</v>
      </c>
      <c r="R84" s="40">
        <v>19.8</v>
      </c>
      <c r="S84" s="33" t="s">
        <v>81</v>
      </c>
      <c r="T84" s="33">
        <v>8.4499999999999993</v>
      </c>
      <c r="U84" s="33">
        <v>9.9039999999999999</v>
      </c>
      <c r="V84" s="44" t="s">
        <v>37</v>
      </c>
      <c r="W84" s="44" t="s">
        <v>37</v>
      </c>
      <c r="X84" s="33">
        <v>420</v>
      </c>
      <c r="Y84" s="40">
        <f t="shared" si="108"/>
        <v>4.2407108239095308</v>
      </c>
      <c r="Z84" s="40">
        <f t="shared" si="109"/>
        <v>21.142464693435951</v>
      </c>
      <c r="AA84" s="40">
        <f t="shared" si="123"/>
        <v>28.810819660237566</v>
      </c>
      <c r="AC84" s="16">
        <f t="shared" si="110"/>
        <v>0.17298163592151028</v>
      </c>
      <c r="AD84" s="26">
        <f t="shared" si="111"/>
        <v>5.7809604740571769</v>
      </c>
      <c r="AE84" s="51">
        <v>15</v>
      </c>
      <c r="AF84" s="85" t="str">
        <f t="shared" si="112"/>
        <v>NOEC</v>
      </c>
      <c r="AG84" s="9">
        <f t="shared" si="113"/>
        <v>1</v>
      </c>
      <c r="AH84" s="18">
        <f t="shared" si="114"/>
        <v>28.810819660237566</v>
      </c>
      <c r="AI84" s="88" t="str">
        <f t="shared" si="115"/>
        <v>Chronic</v>
      </c>
      <c r="AJ84" s="9">
        <f t="shared" si="116"/>
        <v>1</v>
      </c>
      <c r="AK84" s="18">
        <f t="shared" si="117"/>
        <v>28.810819660237566</v>
      </c>
      <c r="AL84" s="16"/>
      <c r="AM84" s="132" t="str">
        <f t="shared" si="118"/>
        <v>NOEC</v>
      </c>
      <c r="AN84" s="67" t="s">
        <v>356</v>
      </c>
      <c r="AO84" s="88" t="str">
        <f t="shared" si="119"/>
        <v>Chronic</v>
      </c>
      <c r="AP84" s="67" t="str">
        <f t="shared" si="124"/>
        <v>y</v>
      </c>
      <c r="AQ84" s="69" t="str">
        <f t="shared" si="120"/>
        <v>Mean brood size/daphnid</v>
      </c>
      <c r="AR84" s="67" t="s">
        <v>475</v>
      </c>
      <c r="AS84" s="70">
        <f t="shared" si="121"/>
        <v>21</v>
      </c>
      <c r="AT84" s="67" t="s">
        <v>476</v>
      </c>
      <c r="AU84" s="67"/>
      <c r="AV84" s="82">
        <f t="shared" si="122"/>
        <v>28.810819660237566</v>
      </c>
      <c r="AW84" s="81">
        <f>GEOMEAN(AV84:AV84)</f>
        <v>28.810819660237566</v>
      </c>
      <c r="AX84" s="78">
        <f>MIN(AW84)</f>
        <v>28.810819660237566</v>
      </c>
      <c r="AY84" s="133"/>
    </row>
    <row r="85" spans="1:52" x14ac:dyDescent="0.2">
      <c r="A85" s="32" t="s">
        <v>89</v>
      </c>
      <c r="B85" s="33">
        <v>240</v>
      </c>
      <c r="C85" s="34" t="s">
        <v>24</v>
      </c>
      <c r="D85" s="35" t="s">
        <v>77</v>
      </c>
      <c r="E85" s="33" t="s">
        <v>61</v>
      </c>
      <c r="F85" s="33" t="s">
        <v>62</v>
      </c>
      <c r="G85" s="33" t="s">
        <v>52</v>
      </c>
      <c r="H85" s="33" t="s">
        <v>571</v>
      </c>
      <c r="I85" s="36" t="s">
        <v>78</v>
      </c>
      <c r="J85" s="36" t="s">
        <v>53</v>
      </c>
      <c r="K85" s="36" t="s">
        <v>53</v>
      </c>
      <c r="L85" s="36" t="s">
        <v>54</v>
      </c>
      <c r="M85" s="36">
        <v>21</v>
      </c>
      <c r="N85" s="33" t="s">
        <v>55</v>
      </c>
      <c r="O85" s="37" t="s">
        <v>33</v>
      </c>
      <c r="P85" s="38" t="s">
        <v>79</v>
      </c>
      <c r="Q85" s="33" t="s">
        <v>80</v>
      </c>
      <c r="R85" s="40">
        <v>19.8</v>
      </c>
      <c r="S85" s="33" t="s">
        <v>81</v>
      </c>
      <c r="T85" s="33">
        <v>8.4499999999999993</v>
      </c>
      <c r="U85" s="33">
        <v>9.9039999999999999</v>
      </c>
      <c r="V85" s="44" t="s">
        <v>37</v>
      </c>
      <c r="W85" s="44" t="s">
        <v>37</v>
      </c>
      <c r="X85" s="33">
        <v>420</v>
      </c>
      <c r="Y85" s="40">
        <f t="shared" si="108"/>
        <v>4.2407108239095308</v>
      </c>
      <c r="Z85" s="40">
        <f t="shared" si="109"/>
        <v>21.142464693435951</v>
      </c>
      <c r="AA85" s="40">
        <f t="shared" si="123"/>
        <v>28.810819660237566</v>
      </c>
      <c r="AC85" s="16">
        <f t="shared" si="110"/>
        <v>0.17298163592151028</v>
      </c>
      <c r="AD85" s="26">
        <f t="shared" si="111"/>
        <v>5.7809604740571769</v>
      </c>
      <c r="AE85" s="51">
        <v>15</v>
      </c>
      <c r="AF85" s="85" t="str">
        <f t="shared" si="112"/>
        <v>NOEC</v>
      </c>
      <c r="AG85" s="9">
        <f t="shared" si="113"/>
        <v>1</v>
      </c>
      <c r="AH85" s="18">
        <f t="shared" si="114"/>
        <v>28.810819660237566</v>
      </c>
      <c r="AI85" s="88" t="str">
        <f t="shared" si="115"/>
        <v>Chronic</v>
      </c>
      <c r="AJ85" s="9">
        <f t="shared" si="116"/>
        <v>1</v>
      </c>
      <c r="AK85" s="18">
        <f t="shared" si="117"/>
        <v>28.810819660237566</v>
      </c>
      <c r="AL85" s="16"/>
      <c r="AM85" s="110" t="str">
        <f t="shared" si="118"/>
        <v>NOEC</v>
      </c>
      <c r="AN85" s="111" t="s">
        <v>356</v>
      </c>
      <c r="AO85" s="112" t="str">
        <f t="shared" si="119"/>
        <v>Chronic</v>
      </c>
      <c r="AP85" s="111" t="str">
        <f t="shared" si="124"/>
        <v>y</v>
      </c>
      <c r="AQ85" s="134" t="str">
        <f t="shared" si="120"/>
        <v>Mortality</v>
      </c>
      <c r="AR85" s="111" t="s">
        <v>55</v>
      </c>
      <c r="AS85" s="114">
        <f t="shared" si="121"/>
        <v>21</v>
      </c>
      <c r="AT85" s="111" t="s">
        <v>477</v>
      </c>
      <c r="AU85" s="111"/>
      <c r="AV85" s="138">
        <f t="shared" si="122"/>
        <v>28.810819660237566</v>
      </c>
      <c r="AW85" s="135">
        <f>GEOMEAN(AV85:AV85)</f>
        <v>28.810819660237566</v>
      </c>
      <c r="AX85" s="136">
        <f>MIN(AW85)</f>
        <v>28.810819660237566</v>
      </c>
      <c r="AY85" s="137">
        <f>MIN(AX83:AX85)</f>
        <v>28.810819660237566</v>
      </c>
    </row>
    <row r="86" spans="1:52" x14ac:dyDescent="0.2">
      <c r="A86" s="19" t="s">
        <v>90</v>
      </c>
      <c r="B86" s="23">
        <v>231</v>
      </c>
      <c r="C86" s="10" t="s">
        <v>24</v>
      </c>
      <c r="D86" s="11" t="s">
        <v>91</v>
      </c>
      <c r="E86" s="9" t="s">
        <v>61</v>
      </c>
      <c r="F86" s="9" t="s">
        <v>92</v>
      </c>
      <c r="G86" s="9" t="s">
        <v>93</v>
      </c>
      <c r="H86" s="9" t="s">
        <v>571</v>
      </c>
      <c r="I86" s="9" t="s">
        <v>94</v>
      </c>
      <c r="J86" s="12" t="s">
        <v>53</v>
      </c>
      <c r="K86" s="12" t="s">
        <v>95</v>
      </c>
      <c r="L86" s="12" t="s">
        <v>54</v>
      </c>
      <c r="M86" s="9">
        <v>29</v>
      </c>
      <c r="N86" s="9" t="s">
        <v>55</v>
      </c>
      <c r="O86" s="9" t="s">
        <v>33</v>
      </c>
      <c r="P86" s="14" t="s">
        <v>96</v>
      </c>
      <c r="Q86" s="23">
        <v>15.8</v>
      </c>
      <c r="R86" s="94">
        <v>15.8</v>
      </c>
      <c r="S86" s="9">
        <v>8.3699999999999992</v>
      </c>
      <c r="T86" s="9">
        <v>8.3699999999999992</v>
      </c>
      <c r="U86" s="9">
        <v>6.3609999999999998</v>
      </c>
      <c r="V86" s="9">
        <v>0.94899999999999995</v>
      </c>
      <c r="W86" s="9">
        <v>66</v>
      </c>
      <c r="X86" s="9">
        <v>66</v>
      </c>
      <c r="Y86" s="9">
        <v>0.94899999999999995</v>
      </c>
      <c r="Z86" s="15">
        <f t="shared" si="109"/>
        <v>4.1349303568432507</v>
      </c>
      <c r="AA86" s="15">
        <f t="shared" si="123"/>
        <v>4.3537972356541204</v>
      </c>
      <c r="AC86" s="16">
        <f t="shared" si="110"/>
        <v>0.20796966871036979</v>
      </c>
      <c r="AD86" s="26">
        <f t="shared" si="111"/>
        <v>4.8083934844972802</v>
      </c>
      <c r="AE86" s="51">
        <v>15</v>
      </c>
      <c r="AF86" s="85" t="str">
        <f t="shared" si="112"/>
        <v>NOEC</v>
      </c>
      <c r="AG86" s="9">
        <f t="shared" si="113"/>
        <v>1</v>
      </c>
      <c r="AH86" s="18">
        <f t="shared" si="114"/>
        <v>4.3537972356541204</v>
      </c>
      <c r="AI86" s="88" t="str">
        <f t="shared" si="115"/>
        <v>Chronic</v>
      </c>
      <c r="AJ86" s="9">
        <f t="shared" si="116"/>
        <v>1</v>
      </c>
      <c r="AK86" s="18">
        <f t="shared" si="117"/>
        <v>4.3537972356541204</v>
      </c>
      <c r="AL86" s="16"/>
      <c r="AM86" s="127" t="str">
        <f t="shared" si="118"/>
        <v>NOEC</v>
      </c>
      <c r="AN86" s="128" t="s">
        <v>356</v>
      </c>
      <c r="AO86" s="129" t="str">
        <f t="shared" si="119"/>
        <v>Chronic</v>
      </c>
      <c r="AP86" s="128" t="str">
        <f t="shared" si="124"/>
        <v>y</v>
      </c>
      <c r="AQ86" s="130" t="str">
        <f t="shared" si="120"/>
        <v>Mortality (of juvenile Deleatidium sp.)</v>
      </c>
      <c r="AR86" s="128" t="s">
        <v>459</v>
      </c>
      <c r="AS86" s="131">
        <f t="shared" si="121"/>
        <v>29</v>
      </c>
      <c r="AT86" s="128" t="s">
        <v>460</v>
      </c>
      <c r="AU86" s="128"/>
      <c r="AV86" s="143">
        <f t="shared" si="122"/>
        <v>4.3537972356541204</v>
      </c>
      <c r="AW86" s="144">
        <f t="shared" ref="AW86:AW87" si="125">GEOMEAN(AV86:AV86)</f>
        <v>4.3537972356541204</v>
      </c>
      <c r="AX86" s="141">
        <f>MIN(AW86)</f>
        <v>4.3537972356541204</v>
      </c>
      <c r="AY86" s="142">
        <f>MIN(AX86:AX86)</f>
        <v>4.3537972356541204</v>
      </c>
    </row>
    <row r="87" spans="1:52" x14ac:dyDescent="0.2">
      <c r="A87" s="32" t="s">
        <v>97</v>
      </c>
      <c r="B87" s="44">
        <v>221</v>
      </c>
      <c r="C87" s="34" t="s">
        <v>24</v>
      </c>
      <c r="D87" s="35" t="s">
        <v>98</v>
      </c>
      <c r="E87" s="33" t="s">
        <v>61</v>
      </c>
      <c r="F87" s="33" t="s">
        <v>99</v>
      </c>
      <c r="G87" s="33" t="s">
        <v>93</v>
      </c>
      <c r="H87" s="33" t="s">
        <v>571</v>
      </c>
      <c r="I87" s="36" t="s">
        <v>100</v>
      </c>
      <c r="J87" s="36" t="s">
        <v>64</v>
      </c>
      <c r="K87" s="44" t="s">
        <v>101</v>
      </c>
      <c r="L87" s="36" t="s">
        <v>54</v>
      </c>
      <c r="M87" s="36">
        <v>10</v>
      </c>
      <c r="N87" s="33" t="s">
        <v>102</v>
      </c>
      <c r="O87" s="33" t="s">
        <v>33</v>
      </c>
      <c r="P87" s="45" t="s">
        <v>103</v>
      </c>
      <c r="Q87" s="44">
        <v>25</v>
      </c>
      <c r="R87" s="44">
        <v>25</v>
      </c>
      <c r="S87" s="33" t="s">
        <v>104</v>
      </c>
      <c r="T87" s="33">
        <v>8.0399999999999991</v>
      </c>
      <c r="U87" s="46">
        <v>5.8536524151080886</v>
      </c>
      <c r="V87" s="33">
        <v>2.5</v>
      </c>
      <c r="W87" s="33" t="s">
        <v>37</v>
      </c>
      <c r="X87" s="39">
        <f t="shared" ref="X87" si="126">(V87)*(U87/100)*1000</f>
        <v>146.3413103777022</v>
      </c>
      <c r="Y87" s="33">
        <v>2.5</v>
      </c>
      <c r="Z87" s="40">
        <f t="shared" si="109"/>
        <v>6.4367096033276967</v>
      </c>
      <c r="AA87" s="40">
        <f t="shared" si="123"/>
        <v>12.264897302077726</v>
      </c>
      <c r="AC87" s="16">
        <f t="shared" si="110"/>
        <v>0.4446312674691093</v>
      </c>
      <c r="AD87" s="26">
        <f t="shared" si="111"/>
        <v>2.2490546058357781</v>
      </c>
      <c r="AE87" s="51">
        <v>15</v>
      </c>
      <c r="AF87" s="85" t="str">
        <f t="shared" si="112"/>
        <v>NOEC</v>
      </c>
      <c r="AG87" s="9">
        <f t="shared" si="113"/>
        <v>1</v>
      </c>
      <c r="AH87" s="18">
        <f t="shared" si="114"/>
        <v>12.264897302077726</v>
      </c>
      <c r="AI87" s="88" t="str">
        <f t="shared" si="115"/>
        <v>Chronic</v>
      </c>
      <c r="AJ87" s="9">
        <f t="shared" si="116"/>
        <v>1</v>
      </c>
      <c r="AK87" s="18">
        <f t="shared" si="117"/>
        <v>12.264897302077726</v>
      </c>
      <c r="AL87" s="16"/>
      <c r="AM87" s="101" t="str">
        <f t="shared" si="118"/>
        <v>NOEC</v>
      </c>
      <c r="AN87" s="102" t="s">
        <v>356</v>
      </c>
      <c r="AO87" s="103" t="str">
        <f t="shared" si="119"/>
        <v>Chronic</v>
      </c>
      <c r="AP87" s="102" t="str">
        <f t="shared" si="124"/>
        <v>y</v>
      </c>
      <c r="AQ87" s="104" t="str">
        <f t="shared" si="120"/>
        <v>Reproduction (average young per replicate)</v>
      </c>
      <c r="AR87" s="102" t="s">
        <v>459</v>
      </c>
      <c r="AS87" s="105">
        <f t="shared" si="121"/>
        <v>10</v>
      </c>
      <c r="AT87" s="102" t="s">
        <v>460</v>
      </c>
      <c r="AU87" s="102"/>
      <c r="AV87" s="106">
        <f t="shared" si="122"/>
        <v>12.264897302077726</v>
      </c>
      <c r="AW87" s="107">
        <f t="shared" si="125"/>
        <v>12.264897302077726</v>
      </c>
      <c r="AX87" s="78">
        <f>MIN(AW87:AW87)</f>
        <v>12.264897302077726</v>
      </c>
      <c r="AY87" s="109">
        <f>MIN(AX87:AX87)</f>
        <v>12.264897302077726</v>
      </c>
    </row>
    <row r="88" spans="1:52" x14ac:dyDescent="0.2">
      <c r="A88" s="19" t="s">
        <v>119</v>
      </c>
      <c r="B88" s="9">
        <v>235</v>
      </c>
      <c r="C88" s="10" t="s">
        <v>24</v>
      </c>
      <c r="D88" s="11" t="s">
        <v>120</v>
      </c>
      <c r="E88" s="9" t="s">
        <v>121</v>
      </c>
      <c r="F88" s="9" t="s">
        <v>122</v>
      </c>
      <c r="G88" s="9" t="s">
        <v>52</v>
      </c>
      <c r="H88" s="9" t="s">
        <v>571</v>
      </c>
      <c r="I88" s="12" t="s">
        <v>37</v>
      </c>
      <c r="J88" s="12" t="s">
        <v>123</v>
      </c>
      <c r="K88" s="12" t="s">
        <v>123</v>
      </c>
      <c r="L88" s="12" t="s">
        <v>54</v>
      </c>
      <c r="M88" s="12">
        <v>40</v>
      </c>
      <c r="N88" s="9" t="s">
        <v>55</v>
      </c>
      <c r="O88" s="13" t="s">
        <v>33</v>
      </c>
      <c r="P88" s="14" t="s">
        <v>56</v>
      </c>
      <c r="Q88" s="9" t="s">
        <v>438</v>
      </c>
      <c r="R88" s="9">
        <v>15.3</v>
      </c>
      <c r="S88" s="9" t="s">
        <v>124</v>
      </c>
      <c r="T88" s="9">
        <v>8.1</v>
      </c>
      <c r="U88" s="9">
        <v>3.3940000000000001</v>
      </c>
      <c r="V88" s="18">
        <v>2.1</v>
      </c>
      <c r="W88" s="9">
        <v>70</v>
      </c>
      <c r="X88" s="9">
        <v>70</v>
      </c>
      <c r="Y88" s="18">
        <v>2.1</v>
      </c>
      <c r="Z88" s="15">
        <f t="shared" si="109"/>
        <v>5.9178920071141139</v>
      </c>
      <c r="AA88" s="15">
        <f t="shared" si="123"/>
        <v>6.0334683052309606</v>
      </c>
      <c r="AC88" s="16">
        <f t="shared" si="110"/>
        <v>0.38725764492161724</v>
      </c>
      <c r="AD88" s="26">
        <f t="shared" si="111"/>
        <v>2.5822601906345959</v>
      </c>
      <c r="AE88" s="51">
        <v>15</v>
      </c>
      <c r="AF88" s="85" t="str">
        <f t="shared" si="112"/>
        <v>NOEC</v>
      </c>
      <c r="AG88" s="9">
        <f t="shared" si="113"/>
        <v>1</v>
      </c>
      <c r="AH88" s="18">
        <f t="shared" si="114"/>
        <v>6.0334683052309606</v>
      </c>
      <c r="AI88" s="88" t="str">
        <f t="shared" si="115"/>
        <v>Chronic</v>
      </c>
      <c r="AJ88" s="9">
        <f t="shared" si="116"/>
        <v>1</v>
      </c>
      <c r="AK88" s="18">
        <f t="shared" si="117"/>
        <v>6.0334683052309606</v>
      </c>
      <c r="AL88" s="16"/>
      <c r="AM88" s="127" t="str">
        <f t="shared" si="118"/>
        <v>NOEC</v>
      </c>
      <c r="AN88" s="128" t="s">
        <v>356</v>
      </c>
      <c r="AO88" s="129" t="str">
        <f t="shared" si="119"/>
        <v>Chronic</v>
      </c>
      <c r="AP88" s="128" t="str">
        <f t="shared" si="124"/>
        <v>y</v>
      </c>
      <c r="AQ88" s="130" t="str">
        <f t="shared" si="120"/>
        <v>Immobility</v>
      </c>
      <c r="AR88" s="128" t="s">
        <v>459</v>
      </c>
      <c r="AS88" s="131">
        <f t="shared" si="121"/>
        <v>40</v>
      </c>
      <c r="AT88" s="128" t="s">
        <v>460</v>
      </c>
      <c r="AU88" s="128"/>
      <c r="AV88" s="143">
        <f>AK88</f>
        <v>6.0334683052309606</v>
      </c>
      <c r="AW88" s="144">
        <f>GEOMEAN(AV88:AV88)</f>
        <v>6.0334683052309606</v>
      </c>
      <c r="AX88" s="148">
        <f>MIN(AW88)</f>
        <v>6.0334683052309606</v>
      </c>
      <c r="AY88" s="149">
        <f>MIN(AX88)</f>
        <v>6.0334683052309606</v>
      </c>
    </row>
    <row r="89" spans="1:52" x14ac:dyDescent="0.2">
      <c r="A89" s="32" t="s">
        <v>132</v>
      </c>
      <c r="B89" s="33">
        <v>254</v>
      </c>
      <c r="C89" s="34" t="s">
        <v>24</v>
      </c>
      <c r="D89" s="35" t="s">
        <v>126</v>
      </c>
      <c r="E89" s="33" t="s">
        <v>121</v>
      </c>
      <c r="F89" s="33" t="s">
        <v>127</v>
      </c>
      <c r="G89" s="33" t="s">
        <v>52</v>
      </c>
      <c r="H89" s="33" t="s">
        <v>571</v>
      </c>
      <c r="I89" s="36" t="s">
        <v>128</v>
      </c>
      <c r="J89" s="36" t="s">
        <v>53</v>
      </c>
      <c r="K89" s="36" t="s">
        <v>53</v>
      </c>
      <c r="L89" s="36" t="s">
        <v>133</v>
      </c>
      <c r="M89" s="36">
        <v>28</v>
      </c>
      <c r="N89" s="33" t="s">
        <v>55</v>
      </c>
      <c r="O89" s="37" t="s">
        <v>33</v>
      </c>
      <c r="P89" s="38" t="s">
        <v>129</v>
      </c>
      <c r="Q89" s="33" t="s">
        <v>130</v>
      </c>
      <c r="R89" s="33">
        <v>20</v>
      </c>
      <c r="S89" s="33" t="s">
        <v>131</v>
      </c>
      <c r="T89" s="33">
        <v>8.1999999999999993</v>
      </c>
      <c r="U89" s="33">
        <v>5.9020000000000001</v>
      </c>
      <c r="V89" s="33" t="s">
        <v>134</v>
      </c>
      <c r="W89" s="33" t="s">
        <v>37</v>
      </c>
      <c r="X89" s="33">
        <v>7.67</v>
      </c>
      <c r="Y89" s="33">
        <v>0.13</v>
      </c>
      <c r="Z89" s="40">
        <f t="shared" si="109"/>
        <v>0.4284575216169903</v>
      </c>
      <c r="AA89" s="40">
        <f t="shared" si="123"/>
        <v>0.59143602089084379</v>
      </c>
      <c r="AB89" t="s">
        <v>577</v>
      </c>
      <c r="AC89" s="16">
        <f t="shared" si="110"/>
        <v>0.30760968147407108</v>
      </c>
      <c r="AD89" s="26">
        <f t="shared" si="111"/>
        <v>3.2508729738543409</v>
      </c>
      <c r="AE89" s="51">
        <v>15</v>
      </c>
      <c r="AF89" s="85" t="str">
        <f t="shared" si="112"/>
        <v>IC10</v>
      </c>
      <c r="AG89" s="9">
        <f t="shared" si="113"/>
        <v>1</v>
      </c>
      <c r="AH89" s="18">
        <f t="shared" si="114"/>
        <v>0.59143602089084379</v>
      </c>
      <c r="AI89" s="88" t="str">
        <f t="shared" si="115"/>
        <v>Chronic</v>
      </c>
      <c r="AJ89" s="9">
        <f t="shared" si="116"/>
        <v>1</v>
      </c>
      <c r="AK89" s="18">
        <f t="shared" si="117"/>
        <v>0.59143602089084379</v>
      </c>
      <c r="AL89" s="16"/>
      <c r="AM89" s="132" t="str">
        <f t="shared" si="118"/>
        <v>IC10</v>
      </c>
      <c r="AN89" s="67" t="s">
        <v>356</v>
      </c>
      <c r="AO89" s="88" t="str">
        <f t="shared" si="119"/>
        <v>Chronic</v>
      </c>
      <c r="AP89" s="67" t="str">
        <f t="shared" si="124"/>
        <v>y</v>
      </c>
      <c r="AQ89" s="69" t="str">
        <f t="shared" si="120"/>
        <v>Mortality</v>
      </c>
      <c r="AR89" s="67" t="s">
        <v>459</v>
      </c>
      <c r="AS89" s="70">
        <f t="shared" si="121"/>
        <v>28</v>
      </c>
      <c r="AT89" s="67" t="s">
        <v>460</v>
      </c>
      <c r="AU89" s="67"/>
      <c r="AV89" s="151">
        <f>AK89</f>
        <v>0.59143602089084379</v>
      </c>
      <c r="AW89" s="95">
        <f>GEOMEAN(AV89:AV89)</f>
        <v>0.59143602089084379</v>
      </c>
      <c r="AX89" s="96">
        <f>MIN(AW89)</f>
        <v>0.59143602089084379</v>
      </c>
      <c r="AY89" s="153">
        <f>MIN(AX89)</f>
        <v>0.59143602089084379</v>
      </c>
    </row>
    <row r="90" spans="1:52" x14ac:dyDescent="0.2">
      <c r="A90" s="19" t="s">
        <v>144</v>
      </c>
      <c r="B90" s="9">
        <v>253</v>
      </c>
      <c r="C90" s="10" t="s">
        <v>24</v>
      </c>
      <c r="D90" s="11" t="s">
        <v>139</v>
      </c>
      <c r="E90" s="9" t="s">
        <v>121</v>
      </c>
      <c r="F90" s="9" t="s">
        <v>127</v>
      </c>
      <c r="G90" s="9" t="s">
        <v>52</v>
      </c>
      <c r="H90" s="9" t="s">
        <v>571</v>
      </c>
      <c r="I90" s="12" t="s">
        <v>140</v>
      </c>
      <c r="J90" s="12" t="s">
        <v>53</v>
      </c>
      <c r="K90" s="12" t="s">
        <v>53</v>
      </c>
      <c r="L90" s="12" t="s">
        <v>31</v>
      </c>
      <c r="M90" s="12">
        <v>28</v>
      </c>
      <c r="N90" s="9" t="s">
        <v>55</v>
      </c>
      <c r="O90" s="13" t="s">
        <v>33</v>
      </c>
      <c r="P90" s="14" t="s">
        <v>141</v>
      </c>
      <c r="Q90" s="9">
        <v>20</v>
      </c>
      <c r="R90" s="9">
        <v>20</v>
      </c>
      <c r="S90" s="9" t="s">
        <v>142</v>
      </c>
      <c r="T90" s="9">
        <v>8.26</v>
      </c>
      <c r="U90" s="9">
        <v>6.718</v>
      </c>
      <c r="V90" s="9">
        <v>0.54</v>
      </c>
      <c r="W90" s="9" t="s">
        <v>37</v>
      </c>
      <c r="X90" s="9">
        <v>36.299999999999997</v>
      </c>
      <c r="Y90" s="9">
        <v>0.54</v>
      </c>
      <c r="Z90" s="15">
        <f t="shared" si="109"/>
        <v>1.9610361754850452</v>
      </c>
      <c r="AA90" s="15">
        <f t="shared" si="123"/>
        <v>2.7069834789565781</v>
      </c>
      <c r="AC90" s="16">
        <f t="shared" si="110"/>
        <v>0.26791683248190312</v>
      </c>
      <c r="AD90" s="26">
        <f t="shared" si="111"/>
        <v>3.7325015779572066</v>
      </c>
      <c r="AE90" s="51">
        <v>15</v>
      </c>
      <c r="AF90" s="85" t="str">
        <f t="shared" si="112"/>
        <v>EC10</v>
      </c>
      <c r="AG90" s="9">
        <f t="shared" si="113"/>
        <v>1</v>
      </c>
      <c r="AH90" s="18">
        <f t="shared" si="114"/>
        <v>2.7069834789565781</v>
      </c>
      <c r="AI90" s="88" t="str">
        <f t="shared" si="115"/>
        <v>Chronic</v>
      </c>
      <c r="AJ90" s="9">
        <f t="shared" si="116"/>
        <v>1</v>
      </c>
      <c r="AK90" s="18">
        <f t="shared" si="117"/>
        <v>2.7069834789565781</v>
      </c>
      <c r="AM90" s="101" t="str">
        <f t="shared" si="118"/>
        <v>EC10</v>
      </c>
      <c r="AN90" s="102" t="s">
        <v>356</v>
      </c>
      <c r="AO90" s="103" t="str">
        <f t="shared" si="119"/>
        <v>Chronic</v>
      </c>
      <c r="AP90" s="102" t="str">
        <f t="shared" si="124"/>
        <v>y</v>
      </c>
      <c r="AQ90" s="104" t="str">
        <f t="shared" si="120"/>
        <v>Mortality</v>
      </c>
      <c r="AR90" s="196" t="s">
        <v>459</v>
      </c>
      <c r="AS90" s="105">
        <f t="shared" si="121"/>
        <v>28</v>
      </c>
      <c r="AT90" s="158" t="s">
        <v>460</v>
      </c>
      <c r="AU90" s="197"/>
      <c r="AV90" s="154">
        <f t="shared" ref="AV90:AV93" si="127">AK90</f>
        <v>2.7069834789565781</v>
      </c>
      <c r="AW90" s="155"/>
      <c r="AX90" s="197"/>
      <c r="AY90" s="198"/>
    </row>
    <row r="91" spans="1:52" x14ac:dyDescent="0.2">
      <c r="A91" s="19" t="s">
        <v>146</v>
      </c>
      <c r="B91" s="9">
        <v>254</v>
      </c>
      <c r="C91" s="10" t="s">
        <v>24</v>
      </c>
      <c r="D91" s="11" t="s">
        <v>139</v>
      </c>
      <c r="E91" s="9" t="s">
        <v>121</v>
      </c>
      <c r="F91" s="9" t="s">
        <v>127</v>
      </c>
      <c r="G91" s="9" t="s">
        <v>52</v>
      </c>
      <c r="H91" s="9" t="s">
        <v>571</v>
      </c>
      <c r="I91" s="12" t="s">
        <v>140</v>
      </c>
      <c r="J91" s="12" t="s">
        <v>53</v>
      </c>
      <c r="K91" s="12" t="s">
        <v>53</v>
      </c>
      <c r="L91" s="12" t="s">
        <v>133</v>
      </c>
      <c r="M91" s="12">
        <v>28</v>
      </c>
      <c r="N91" s="9" t="s">
        <v>55</v>
      </c>
      <c r="O91" s="13" t="s">
        <v>33</v>
      </c>
      <c r="P91" s="14" t="s">
        <v>129</v>
      </c>
      <c r="Q91" s="9" t="s">
        <v>130</v>
      </c>
      <c r="R91" s="9">
        <v>20</v>
      </c>
      <c r="S91" s="9" t="s">
        <v>131</v>
      </c>
      <c r="T91" s="9">
        <v>8.1999999999999993</v>
      </c>
      <c r="U91" s="9">
        <v>5.9020000000000001</v>
      </c>
      <c r="V91" s="9" t="s">
        <v>134</v>
      </c>
      <c r="W91" s="9" t="s">
        <v>37</v>
      </c>
      <c r="X91" s="9">
        <v>7.67</v>
      </c>
      <c r="Y91" s="9">
        <v>0.13</v>
      </c>
      <c r="Z91" s="15">
        <f t="shared" si="109"/>
        <v>0.4284575216169903</v>
      </c>
      <c r="AA91" s="15">
        <f t="shared" si="123"/>
        <v>0.59143602089084379</v>
      </c>
      <c r="AB91" t="s">
        <v>577</v>
      </c>
      <c r="AC91" s="16">
        <f t="shared" si="110"/>
        <v>0.30760968147407108</v>
      </c>
      <c r="AD91" s="26">
        <f t="shared" si="111"/>
        <v>3.2508729738543409</v>
      </c>
      <c r="AE91" s="51">
        <v>15</v>
      </c>
      <c r="AF91" s="85" t="str">
        <f t="shared" si="112"/>
        <v>IC10</v>
      </c>
      <c r="AG91" s="9">
        <f t="shared" si="113"/>
        <v>1</v>
      </c>
      <c r="AH91" s="18">
        <f t="shared" si="114"/>
        <v>0.59143602089084379</v>
      </c>
      <c r="AI91" s="88" t="str">
        <f t="shared" si="115"/>
        <v>Chronic</v>
      </c>
      <c r="AJ91" s="9">
        <f t="shared" si="116"/>
        <v>1</v>
      </c>
      <c r="AK91" s="18">
        <f t="shared" si="117"/>
        <v>0.59143602089084379</v>
      </c>
      <c r="AL91" s="16"/>
      <c r="AM91" s="110" t="str">
        <f t="shared" si="118"/>
        <v>IC10</v>
      </c>
      <c r="AN91" s="111" t="s">
        <v>356</v>
      </c>
      <c r="AO91" s="112" t="str">
        <f t="shared" si="119"/>
        <v>Chronic</v>
      </c>
      <c r="AP91" s="111" t="str">
        <f t="shared" si="124"/>
        <v>y</v>
      </c>
      <c r="AQ91" s="134" t="str">
        <f t="shared" si="120"/>
        <v>Mortality</v>
      </c>
      <c r="AR91" s="199" t="s">
        <v>459</v>
      </c>
      <c r="AS91" s="114">
        <f t="shared" si="121"/>
        <v>28</v>
      </c>
      <c r="AT91" s="199" t="s">
        <v>460</v>
      </c>
      <c r="AU91" s="200"/>
      <c r="AV91" s="152">
        <f t="shared" si="127"/>
        <v>0.59143602089084379</v>
      </c>
      <c r="AW91" s="140">
        <f>GEOMEAN(AV90:AV91)</f>
        <v>1.2653092655202252</v>
      </c>
      <c r="AX91" s="141">
        <f>MIN(AW91)</f>
        <v>1.2653092655202252</v>
      </c>
      <c r="AY91" s="142">
        <f>MIN(AX91:AX91)</f>
        <v>1.2653092655202252</v>
      </c>
    </row>
    <row r="92" spans="1:52" x14ac:dyDescent="0.2">
      <c r="A92" s="32" t="s">
        <v>148</v>
      </c>
      <c r="B92" s="33">
        <v>256</v>
      </c>
      <c r="C92" s="38" t="s">
        <v>24</v>
      </c>
      <c r="D92" s="35" t="s">
        <v>149</v>
      </c>
      <c r="E92" s="33" t="s">
        <v>121</v>
      </c>
      <c r="F92" s="33" t="s">
        <v>127</v>
      </c>
      <c r="G92" s="33" t="s">
        <v>52</v>
      </c>
      <c r="H92" s="33" t="s">
        <v>571</v>
      </c>
      <c r="I92" s="33" t="s">
        <v>37</v>
      </c>
      <c r="J92" s="36" t="s">
        <v>53</v>
      </c>
      <c r="K92" s="36" t="s">
        <v>53</v>
      </c>
      <c r="L92" s="36" t="s">
        <v>54</v>
      </c>
      <c r="M92" s="36">
        <v>6</v>
      </c>
      <c r="N92" s="33" t="s">
        <v>102</v>
      </c>
      <c r="O92" s="37" t="s">
        <v>33</v>
      </c>
      <c r="P92" s="38" t="s">
        <v>150</v>
      </c>
      <c r="Q92" s="33" t="s">
        <v>151</v>
      </c>
      <c r="R92" s="33">
        <v>21.8</v>
      </c>
      <c r="S92" s="33" t="s">
        <v>152</v>
      </c>
      <c r="T92" s="33">
        <v>7.8</v>
      </c>
      <c r="U92" s="33">
        <v>2.7679999999999998</v>
      </c>
      <c r="V92" s="33" t="s">
        <v>37</v>
      </c>
      <c r="W92" s="33">
        <v>30</v>
      </c>
      <c r="X92" s="33">
        <v>30</v>
      </c>
      <c r="Y92" s="40">
        <f t="shared" ref="Y92" si="128">X92/((U92/100)*1000)</f>
        <v>1.0838150289017343</v>
      </c>
      <c r="Z92" s="40">
        <f t="shared" si="109"/>
        <v>2.0127302212112239</v>
      </c>
      <c r="AA92" s="40">
        <f t="shared" si="123"/>
        <v>3.1202225241057389</v>
      </c>
      <c r="AB92" s="16"/>
      <c r="AC92" s="16">
        <f t="shared" si="110"/>
        <v>0.77268058509570214</v>
      </c>
      <c r="AD92" s="26">
        <f t="shared" si="111"/>
        <v>1.2941958414499863</v>
      </c>
      <c r="AE92" s="51">
        <v>15</v>
      </c>
      <c r="AF92" s="85" t="str">
        <f t="shared" si="112"/>
        <v>NOEC</v>
      </c>
      <c r="AG92" s="9">
        <f t="shared" si="113"/>
        <v>1</v>
      </c>
      <c r="AH92" s="18">
        <f t="shared" si="114"/>
        <v>3.1202225241057389</v>
      </c>
      <c r="AI92" s="88" t="str">
        <f t="shared" si="115"/>
        <v>Chronic</v>
      </c>
      <c r="AJ92" s="9">
        <f t="shared" si="116"/>
        <v>1</v>
      </c>
      <c r="AK92" s="18">
        <f t="shared" si="117"/>
        <v>3.1202225241057389</v>
      </c>
      <c r="AL92" s="16"/>
      <c r="AM92" s="101" t="str">
        <f t="shared" si="118"/>
        <v>NOEC</v>
      </c>
      <c r="AN92" s="102" t="s">
        <v>356</v>
      </c>
      <c r="AO92" s="103" t="str">
        <f t="shared" si="119"/>
        <v>Chronic</v>
      </c>
      <c r="AP92" s="102" t="str">
        <f t="shared" si="124"/>
        <v>y</v>
      </c>
      <c r="AQ92" s="104" t="str">
        <f t="shared" si="120"/>
        <v>Mortality</v>
      </c>
      <c r="AR92" s="102" t="s">
        <v>459</v>
      </c>
      <c r="AS92" s="105">
        <f t="shared" si="121"/>
        <v>6</v>
      </c>
      <c r="AT92" s="102" t="s">
        <v>460</v>
      </c>
      <c r="AU92" s="102"/>
      <c r="AV92" s="154">
        <f t="shared" si="127"/>
        <v>3.1202225241057389</v>
      </c>
      <c r="AW92" s="118">
        <f>GEOMEAN(AV92)</f>
        <v>3.1202225241057389</v>
      </c>
      <c r="AX92" s="119">
        <f>MIN(AW92:AW92)</f>
        <v>3.1202225241057389</v>
      </c>
      <c r="AY92" s="126">
        <f>MIN(AX92)</f>
        <v>3.1202225241057389</v>
      </c>
    </row>
    <row r="93" spans="1:52" x14ac:dyDescent="0.2">
      <c r="A93" s="8" t="s">
        <v>168</v>
      </c>
      <c r="B93" s="9">
        <v>242</v>
      </c>
      <c r="C93" s="10" t="s">
        <v>24</v>
      </c>
      <c r="D93" s="11" t="s">
        <v>155</v>
      </c>
      <c r="E93" s="9" t="s">
        <v>121</v>
      </c>
      <c r="F93" s="9" t="s">
        <v>127</v>
      </c>
      <c r="G93" s="9" t="s">
        <v>52</v>
      </c>
      <c r="H93" s="9" t="s">
        <v>571</v>
      </c>
      <c r="I93" s="12" t="s">
        <v>156</v>
      </c>
      <c r="J93" s="12" t="s">
        <v>136</v>
      </c>
      <c r="K93" s="12" t="s">
        <v>169</v>
      </c>
      <c r="L93" s="12" t="s">
        <v>54</v>
      </c>
      <c r="M93" s="12">
        <v>60</v>
      </c>
      <c r="N93" s="9" t="s">
        <v>55</v>
      </c>
      <c r="O93" s="13" t="s">
        <v>33</v>
      </c>
      <c r="P93" s="14" t="s">
        <v>157</v>
      </c>
      <c r="Q93" s="9">
        <v>20</v>
      </c>
      <c r="R93" s="9">
        <v>20</v>
      </c>
      <c r="S93" s="28" t="s">
        <v>158</v>
      </c>
      <c r="T93" s="28">
        <v>7.73</v>
      </c>
      <c r="U93" s="26" t="s">
        <v>170</v>
      </c>
      <c r="V93" s="9">
        <v>0.65</v>
      </c>
      <c r="W93" s="9">
        <v>12</v>
      </c>
      <c r="X93" s="9">
        <v>12</v>
      </c>
      <c r="Y93" s="9">
        <v>0.65</v>
      </c>
      <c r="Z93" s="15">
        <f t="shared" si="109"/>
        <v>1.1105489745328638</v>
      </c>
      <c r="AA93" s="15">
        <f t="shared" si="123"/>
        <v>1.5329843295160352</v>
      </c>
      <c r="AC93" s="16">
        <f t="shared" si="110"/>
        <v>0.90782053017818432</v>
      </c>
      <c r="AD93" s="26">
        <f t="shared" si="111"/>
        <v>1.1015393095414168</v>
      </c>
      <c r="AE93" s="51">
        <v>15</v>
      </c>
      <c r="AF93" s="85" t="str">
        <f t="shared" si="112"/>
        <v>NOEC</v>
      </c>
      <c r="AG93" s="9">
        <f t="shared" si="113"/>
        <v>1</v>
      </c>
      <c r="AH93" s="18">
        <f t="shared" si="114"/>
        <v>1.5329843295160352</v>
      </c>
      <c r="AI93" s="88" t="str">
        <f t="shared" si="115"/>
        <v>Chronic</v>
      </c>
      <c r="AJ93" s="9">
        <f t="shared" si="116"/>
        <v>1</v>
      </c>
      <c r="AK93" s="18">
        <f t="shared" si="117"/>
        <v>1.5329843295160352</v>
      </c>
      <c r="AL93" s="16"/>
      <c r="AM93" s="110" t="str">
        <f t="shared" si="118"/>
        <v>NOEC</v>
      </c>
      <c r="AN93" s="111" t="s">
        <v>356</v>
      </c>
      <c r="AO93" s="112" t="str">
        <f t="shared" si="119"/>
        <v>Chronic</v>
      </c>
      <c r="AP93" s="111" t="str">
        <f t="shared" si="124"/>
        <v>y</v>
      </c>
      <c r="AQ93" s="134" t="str">
        <f t="shared" si="120"/>
        <v>Length</v>
      </c>
      <c r="AR93" s="111" t="s">
        <v>475</v>
      </c>
      <c r="AS93" s="114">
        <f t="shared" si="121"/>
        <v>60</v>
      </c>
      <c r="AT93" s="111" t="s">
        <v>476</v>
      </c>
      <c r="AU93" s="111"/>
      <c r="AV93" s="152">
        <f t="shared" si="127"/>
        <v>1.5329843295160352</v>
      </c>
      <c r="AW93" s="140">
        <f>GEOMEAN(AV93)</f>
        <v>1.5329843295160352</v>
      </c>
      <c r="AX93" s="141">
        <f>MIN(AW93)</f>
        <v>1.5329843295160352</v>
      </c>
      <c r="AY93" s="142">
        <f>MIN(AX93:AX93)</f>
        <v>1.5329843295160352</v>
      </c>
    </row>
    <row r="94" spans="1:52" x14ac:dyDescent="0.2">
      <c r="A94" s="32" t="s">
        <v>176</v>
      </c>
      <c r="B94" s="33">
        <v>254</v>
      </c>
      <c r="C94" s="34" t="s">
        <v>24</v>
      </c>
      <c r="D94" s="35" t="s">
        <v>172</v>
      </c>
      <c r="E94" s="33" t="s">
        <v>121</v>
      </c>
      <c r="F94" s="33" t="s">
        <v>127</v>
      </c>
      <c r="G94" s="33" t="s">
        <v>52</v>
      </c>
      <c r="H94" s="33" t="s">
        <v>571</v>
      </c>
      <c r="I94" s="36" t="s">
        <v>128</v>
      </c>
      <c r="J94" s="36" t="s">
        <v>177</v>
      </c>
      <c r="K94" s="36" t="s">
        <v>137</v>
      </c>
      <c r="L94" s="36" t="s">
        <v>133</v>
      </c>
      <c r="M94" s="36">
        <v>28</v>
      </c>
      <c r="N94" s="33" t="s">
        <v>55</v>
      </c>
      <c r="O94" s="37" t="s">
        <v>33</v>
      </c>
      <c r="P94" s="38" t="s">
        <v>129</v>
      </c>
      <c r="Q94" s="33" t="s">
        <v>130</v>
      </c>
      <c r="R94" s="33">
        <v>20</v>
      </c>
      <c r="S94" s="33" t="s">
        <v>131</v>
      </c>
      <c r="T94" s="33">
        <v>8.1999999999999993</v>
      </c>
      <c r="U94" s="33">
        <v>5.9020000000000001</v>
      </c>
      <c r="V94" s="33" t="s">
        <v>175</v>
      </c>
      <c r="W94" s="33" t="s">
        <v>37</v>
      </c>
      <c r="X94" s="33">
        <v>23.6</v>
      </c>
      <c r="Y94" s="33">
        <v>0.4</v>
      </c>
      <c r="Z94" s="40">
        <f t="shared" si="109"/>
        <v>1.3183308357445855</v>
      </c>
      <c r="AA94" s="40">
        <f t="shared" si="123"/>
        <v>1.8198031412025963</v>
      </c>
      <c r="AB94" t="s">
        <v>577</v>
      </c>
      <c r="AC94" s="16">
        <f t="shared" si="110"/>
        <v>0.30760968147407108</v>
      </c>
      <c r="AD94" s="26">
        <f t="shared" si="111"/>
        <v>3.2508729738543409</v>
      </c>
      <c r="AE94" s="51">
        <v>15</v>
      </c>
      <c r="AF94" s="85" t="str">
        <f t="shared" si="112"/>
        <v>IC10</v>
      </c>
      <c r="AG94" s="9">
        <f t="shared" si="113"/>
        <v>1</v>
      </c>
      <c r="AH94" s="18">
        <f t="shared" si="114"/>
        <v>1.8198031412025963</v>
      </c>
      <c r="AI94" s="88" t="str">
        <f t="shared" si="115"/>
        <v>Chronic</v>
      </c>
      <c r="AJ94" s="9">
        <f t="shared" si="116"/>
        <v>1</v>
      </c>
      <c r="AK94" s="18">
        <f t="shared" si="117"/>
        <v>1.8198031412025963</v>
      </c>
      <c r="AL94" s="16"/>
      <c r="AM94" s="110" t="str">
        <f t="shared" si="118"/>
        <v>IC10</v>
      </c>
      <c r="AN94" s="111" t="s">
        <v>356</v>
      </c>
      <c r="AO94" s="112" t="str">
        <f t="shared" si="119"/>
        <v>Chronic</v>
      </c>
      <c r="AP94" s="111" t="str">
        <f t="shared" si="124"/>
        <v>y</v>
      </c>
      <c r="AQ94" s="134" t="str">
        <f t="shared" si="120"/>
        <v>Shell length</v>
      </c>
      <c r="AR94" s="111" t="s">
        <v>473</v>
      </c>
      <c r="AS94" s="114">
        <f t="shared" si="121"/>
        <v>28</v>
      </c>
      <c r="AT94" s="111" t="s">
        <v>474</v>
      </c>
      <c r="AU94" s="111"/>
      <c r="AV94" s="152">
        <f>AK94</f>
        <v>1.8198031412025963</v>
      </c>
      <c r="AW94" s="140">
        <f>GEOMEAN(AV94)</f>
        <v>1.8198031412025963</v>
      </c>
      <c r="AX94" s="141">
        <f>MIN(AW94)</f>
        <v>1.8198031412025963</v>
      </c>
      <c r="AY94" s="142">
        <f>MIN(AX94:AX94)</f>
        <v>1.8198031412025963</v>
      </c>
    </row>
    <row r="95" spans="1:52" x14ac:dyDescent="0.2">
      <c r="A95" s="193" t="s">
        <v>604</v>
      </c>
    </row>
    <row r="96" spans="1:52" x14ac:dyDescent="0.2">
      <c r="A96" s="32" t="s">
        <v>48</v>
      </c>
      <c r="B96" s="33">
        <v>236</v>
      </c>
      <c r="C96" s="34" t="s">
        <v>24</v>
      </c>
      <c r="D96" s="35" t="s">
        <v>49</v>
      </c>
      <c r="E96" s="33" t="s">
        <v>50</v>
      </c>
      <c r="F96" s="33" t="s">
        <v>51</v>
      </c>
      <c r="G96" s="33" t="s">
        <v>52</v>
      </c>
      <c r="H96" s="33" t="s">
        <v>571</v>
      </c>
      <c r="I96" s="36" t="s">
        <v>37</v>
      </c>
      <c r="J96" s="36" t="s">
        <v>53</v>
      </c>
      <c r="K96" s="36" t="s">
        <v>53</v>
      </c>
      <c r="L96" s="36" t="s">
        <v>54</v>
      </c>
      <c r="M96" s="36">
        <v>30</v>
      </c>
      <c r="N96" s="33" t="s">
        <v>55</v>
      </c>
      <c r="O96" s="37" t="s">
        <v>33</v>
      </c>
      <c r="P96" s="38" t="s">
        <v>56</v>
      </c>
      <c r="Q96" s="33" t="s">
        <v>57</v>
      </c>
      <c r="R96" s="40">
        <v>15.1</v>
      </c>
      <c r="S96" s="33" t="s">
        <v>58</v>
      </c>
      <c r="T96" s="33">
        <v>8.11</v>
      </c>
      <c r="U96" s="33">
        <v>3.42</v>
      </c>
      <c r="V96" s="33" t="s">
        <v>37</v>
      </c>
      <c r="W96" s="33">
        <v>20</v>
      </c>
      <c r="X96" s="40">
        <v>20</v>
      </c>
      <c r="Y96" s="40">
        <f t="shared" ref="Y96:Y100" si="129">X96/((U96/100)*1000)</f>
        <v>0.58479532163742687</v>
      </c>
      <c r="Z96" s="40">
        <f t="shared" ref="Z96:Z109" si="130">Y96/((0.0278/(1+AC96))+(1.1994/(1+AD96)))</f>
        <v>1.6734482467670493</v>
      </c>
      <c r="AA96" s="40">
        <f>POWER(10,LOG(Z96)-(-0.028*(R96-AE96)))</f>
        <v>1.5791096439255059</v>
      </c>
      <c r="AC96" s="16">
        <f t="shared" ref="AC96:AC109" si="131">POWER(10,7.688-T96)</f>
        <v>0.37844258471709358</v>
      </c>
      <c r="AD96" s="26">
        <f t="shared" ref="AD96:AD109" si="132">POWER(10,T96-7.688)</f>
        <v>2.6424087573219448</v>
      </c>
      <c r="AE96" s="51">
        <v>16</v>
      </c>
      <c r="AF96" s="85" t="str">
        <f t="shared" ref="AF96:AF109" si="133">L96</f>
        <v>NOEC</v>
      </c>
      <c r="AG96" s="9">
        <f t="shared" ref="AG96:AG109" si="134">VLOOKUP(AF96,$BD$6:$BE$17,2,FALSE)</f>
        <v>1</v>
      </c>
      <c r="AH96" s="18">
        <f t="shared" ref="AH96:AH109" si="135">AA96/AG96</f>
        <v>1.5791096439255059</v>
      </c>
      <c r="AI96" s="88" t="str">
        <f t="shared" ref="AI96:AI109" si="136">O96</f>
        <v>Chronic</v>
      </c>
      <c r="AJ96" s="9">
        <f t="shared" ref="AJ96:AJ109" si="137">VLOOKUP(AI96,$BD$19:$BF$20,2,FALSE)</f>
        <v>1</v>
      </c>
      <c r="AK96" s="18">
        <f t="shared" ref="AK96:AK109" si="138">AH96/AJ96</f>
        <v>1.5791096439255059</v>
      </c>
      <c r="AL96" s="16"/>
      <c r="AM96" s="127" t="str">
        <f t="shared" ref="AM96:AM109" si="139">L96</f>
        <v>NOEC</v>
      </c>
      <c r="AN96" s="128" t="s">
        <v>356</v>
      </c>
      <c r="AO96" s="129" t="str">
        <f t="shared" ref="AO96:AO109" si="140">O96</f>
        <v>Chronic</v>
      </c>
      <c r="AP96" s="128" t="str">
        <f>IF(AO96="chronic","y","n")</f>
        <v>y</v>
      </c>
      <c r="AQ96" s="130" t="str">
        <f t="shared" ref="AQ96:AQ109" si="141">K96</f>
        <v>Mortality</v>
      </c>
      <c r="AR96" s="128" t="s">
        <v>459</v>
      </c>
      <c r="AS96" s="131">
        <f t="shared" ref="AS96:AS109" si="142">M96</f>
        <v>30</v>
      </c>
      <c r="AT96" s="128" t="s">
        <v>460</v>
      </c>
      <c r="AU96" s="128"/>
      <c r="AV96" s="189">
        <f t="shared" ref="AV96:AV102" si="143">AK96</f>
        <v>1.5791096439255059</v>
      </c>
      <c r="AW96" s="144">
        <f>GEOMEAN(AV96)</f>
        <v>1.5791096439255059</v>
      </c>
      <c r="AX96" s="148">
        <f>MIN(AW96)</f>
        <v>1.5791096439255059</v>
      </c>
      <c r="AY96" s="149">
        <f>MIN(AX96)</f>
        <v>1.5791096439255059</v>
      </c>
      <c r="AZ96" s="206" t="str">
        <f>A95</f>
        <v>16°C</v>
      </c>
    </row>
    <row r="97" spans="1:52" x14ac:dyDescent="0.2">
      <c r="A97" s="19" t="s">
        <v>59</v>
      </c>
      <c r="B97" s="9">
        <v>245</v>
      </c>
      <c r="C97" s="10" t="s">
        <v>24</v>
      </c>
      <c r="D97" s="11" t="s">
        <v>60</v>
      </c>
      <c r="E97" s="20" t="s">
        <v>61</v>
      </c>
      <c r="F97" s="9" t="s">
        <v>62</v>
      </c>
      <c r="G97" s="9" t="s">
        <v>52</v>
      </c>
      <c r="H97" s="9" t="s">
        <v>571</v>
      </c>
      <c r="I97" s="12" t="s">
        <v>63</v>
      </c>
      <c r="J97" s="12" t="s">
        <v>64</v>
      </c>
      <c r="K97" s="12" t="s">
        <v>64</v>
      </c>
      <c r="L97" s="12" t="s">
        <v>54</v>
      </c>
      <c r="M97" s="12">
        <v>7</v>
      </c>
      <c r="N97" s="9" t="s">
        <v>55</v>
      </c>
      <c r="O97" s="21" t="s">
        <v>33</v>
      </c>
      <c r="P97" s="14" t="s">
        <v>65</v>
      </c>
      <c r="Q97" s="9">
        <v>25</v>
      </c>
      <c r="R97" s="9">
        <v>25</v>
      </c>
      <c r="S97" s="22">
        <v>8</v>
      </c>
      <c r="T97" s="22">
        <v>8</v>
      </c>
      <c r="U97" s="20">
        <v>5.3659999999999997</v>
      </c>
      <c r="V97" s="20" t="s">
        <v>37</v>
      </c>
      <c r="W97" s="20">
        <v>680</v>
      </c>
      <c r="X97" s="9">
        <v>680</v>
      </c>
      <c r="Y97" s="27">
        <f t="shared" si="129"/>
        <v>12.672381662318301</v>
      </c>
      <c r="Z97" s="15">
        <f t="shared" si="130"/>
        <v>30.774279778328605</v>
      </c>
      <c r="AA97" s="15">
        <f t="shared" ref="AA97:AA109" si="144">POWER(10,LOG(Z97)-(-0.028*(R97-AE97)))</f>
        <v>54.977868449004774</v>
      </c>
      <c r="AC97" s="16">
        <f t="shared" si="131"/>
        <v>0.48752849010338595</v>
      </c>
      <c r="AD97" s="26">
        <f t="shared" si="132"/>
        <v>2.051162178825567</v>
      </c>
      <c r="AE97" s="51">
        <v>16</v>
      </c>
      <c r="AF97" s="85" t="str">
        <f t="shared" si="133"/>
        <v>NOEC</v>
      </c>
      <c r="AG97" s="9">
        <f t="shared" si="134"/>
        <v>1</v>
      </c>
      <c r="AH97" s="18">
        <f t="shared" si="135"/>
        <v>54.977868449004774</v>
      </c>
      <c r="AI97" s="88" t="str">
        <f t="shared" si="136"/>
        <v>Chronic</v>
      </c>
      <c r="AJ97" s="9">
        <f t="shared" si="137"/>
        <v>1</v>
      </c>
      <c r="AK97" s="18">
        <f t="shared" si="138"/>
        <v>54.977868449004774</v>
      </c>
      <c r="AL97" s="16"/>
      <c r="AM97" s="101" t="str">
        <f t="shared" si="139"/>
        <v>NOEC</v>
      </c>
      <c r="AN97" s="102" t="s">
        <v>356</v>
      </c>
      <c r="AO97" s="103" t="str">
        <f t="shared" si="140"/>
        <v>Chronic</v>
      </c>
      <c r="AP97" s="102" t="str">
        <f t="shared" ref="AP97:AP109" si="145">IF(AO97="chronic","y","n")</f>
        <v>y</v>
      </c>
      <c r="AQ97" s="104" t="str">
        <f t="shared" si="141"/>
        <v>Reproduction</v>
      </c>
      <c r="AR97" s="102" t="s">
        <v>459</v>
      </c>
      <c r="AS97" s="105">
        <f t="shared" si="142"/>
        <v>7</v>
      </c>
      <c r="AT97" s="102" t="s">
        <v>460</v>
      </c>
      <c r="AU97" s="102"/>
      <c r="AV97" s="106">
        <f t="shared" si="143"/>
        <v>54.977868449004774</v>
      </c>
      <c r="AW97" s="107">
        <f>GEOMEAN(AV97:AV97)</f>
        <v>54.977868449004774</v>
      </c>
      <c r="AX97" s="108">
        <f>MIN(AW97:AW97)</f>
        <v>54.977868449004774</v>
      </c>
      <c r="AY97" s="109">
        <f>MIN(AX97)</f>
        <v>54.977868449004774</v>
      </c>
    </row>
    <row r="98" spans="1:52" x14ac:dyDescent="0.2">
      <c r="A98" s="32" t="s">
        <v>82</v>
      </c>
      <c r="B98" s="33">
        <v>240</v>
      </c>
      <c r="C98" s="34" t="s">
        <v>24</v>
      </c>
      <c r="D98" s="35" t="s">
        <v>77</v>
      </c>
      <c r="E98" s="33" t="s">
        <v>61</v>
      </c>
      <c r="F98" s="33" t="s">
        <v>62</v>
      </c>
      <c r="G98" s="33" t="s">
        <v>52</v>
      </c>
      <c r="H98" s="33" t="s">
        <v>571</v>
      </c>
      <c r="I98" s="36" t="s">
        <v>78</v>
      </c>
      <c r="J98" s="36" t="s">
        <v>83</v>
      </c>
      <c r="K98" s="36" t="s">
        <v>84</v>
      </c>
      <c r="L98" s="36" t="s">
        <v>54</v>
      </c>
      <c r="M98" s="36">
        <v>21</v>
      </c>
      <c r="N98" s="33" t="s">
        <v>55</v>
      </c>
      <c r="O98" s="37" t="s">
        <v>33</v>
      </c>
      <c r="P98" s="38" t="s">
        <v>79</v>
      </c>
      <c r="Q98" s="33" t="s">
        <v>80</v>
      </c>
      <c r="R98" s="40">
        <v>19.8</v>
      </c>
      <c r="S98" s="33" t="s">
        <v>81</v>
      </c>
      <c r="T98" s="33">
        <v>8.4499999999999993</v>
      </c>
      <c r="U98" s="33">
        <v>9.9039999999999999</v>
      </c>
      <c r="V98" s="44" t="s">
        <v>37</v>
      </c>
      <c r="W98" s="44" t="s">
        <v>37</v>
      </c>
      <c r="X98" s="33">
        <v>420</v>
      </c>
      <c r="Y98" s="40">
        <f t="shared" si="129"/>
        <v>4.2407108239095308</v>
      </c>
      <c r="Z98" s="40">
        <f t="shared" si="130"/>
        <v>21.142464693435951</v>
      </c>
      <c r="AA98" s="40">
        <f t="shared" si="144"/>
        <v>27.011929901831937</v>
      </c>
      <c r="AC98" s="16">
        <f t="shared" si="131"/>
        <v>0.17298163592151028</v>
      </c>
      <c r="AD98" s="26">
        <f t="shared" si="132"/>
        <v>5.7809604740571769</v>
      </c>
      <c r="AE98" s="51">
        <v>16</v>
      </c>
      <c r="AF98" s="85" t="str">
        <f t="shared" si="133"/>
        <v>NOEC</v>
      </c>
      <c r="AG98" s="9">
        <f t="shared" si="134"/>
        <v>1</v>
      </c>
      <c r="AH98" s="18">
        <f t="shared" si="135"/>
        <v>27.011929901831937</v>
      </c>
      <c r="AI98" s="88" t="str">
        <f t="shared" si="136"/>
        <v>Chronic</v>
      </c>
      <c r="AJ98" s="9">
        <f t="shared" si="137"/>
        <v>1</v>
      </c>
      <c r="AK98" s="18">
        <f t="shared" si="138"/>
        <v>27.011929901831937</v>
      </c>
      <c r="AL98" s="16"/>
      <c r="AM98" s="101" t="str">
        <f t="shared" si="139"/>
        <v>NOEC</v>
      </c>
      <c r="AN98" s="102" t="s">
        <v>356</v>
      </c>
      <c r="AO98" s="103" t="str">
        <f t="shared" si="140"/>
        <v>Chronic</v>
      </c>
      <c r="AP98" s="102" t="str">
        <f t="shared" si="145"/>
        <v>y</v>
      </c>
      <c r="AQ98" s="104" t="str">
        <f t="shared" si="141"/>
        <v>Mean total young/daphnid</v>
      </c>
      <c r="AR98" s="102" t="s">
        <v>459</v>
      </c>
      <c r="AS98" s="105">
        <f t="shared" si="142"/>
        <v>21</v>
      </c>
      <c r="AT98" s="102" t="s">
        <v>460</v>
      </c>
      <c r="AU98" s="102"/>
      <c r="AV98" s="147">
        <f t="shared" si="143"/>
        <v>27.011929901831937</v>
      </c>
      <c r="AW98" s="107">
        <f>GEOMEAN(AV98:AV98)</f>
        <v>27.011929901831937</v>
      </c>
      <c r="AX98" s="108">
        <f>MIN(AW98)</f>
        <v>27.011929901831937</v>
      </c>
      <c r="AY98" s="109"/>
    </row>
    <row r="99" spans="1:52" x14ac:dyDescent="0.2">
      <c r="A99" s="32" t="s">
        <v>87</v>
      </c>
      <c r="B99" s="33">
        <v>240</v>
      </c>
      <c r="C99" s="34" t="s">
        <v>24</v>
      </c>
      <c r="D99" s="35" t="s">
        <v>77</v>
      </c>
      <c r="E99" s="33" t="s">
        <v>61</v>
      </c>
      <c r="F99" s="33" t="s">
        <v>62</v>
      </c>
      <c r="G99" s="33" t="s">
        <v>52</v>
      </c>
      <c r="H99" s="33" t="s">
        <v>571</v>
      </c>
      <c r="I99" s="36" t="s">
        <v>78</v>
      </c>
      <c r="J99" s="36" t="s">
        <v>83</v>
      </c>
      <c r="K99" s="36" t="s">
        <v>88</v>
      </c>
      <c r="L99" s="36" t="s">
        <v>54</v>
      </c>
      <c r="M99" s="36">
        <v>21</v>
      </c>
      <c r="N99" s="33" t="s">
        <v>55</v>
      </c>
      <c r="O99" s="37" t="s">
        <v>33</v>
      </c>
      <c r="P99" s="38" t="s">
        <v>79</v>
      </c>
      <c r="Q99" s="33" t="s">
        <v>80</v>
      </c>
      <c r="R99" s="40">
        <v>19.8</v>
      </c>
      <c r="S99" s="33" t="s">
        <v>81</v>
      </c>
      <c r="T99" s="33">
        <v>8.4499999999999993</v>
      </c>
      <c r="U99" s="33">
        <v>9.9039999999999999</v>
      </c>
      <c r="V99" s="44" t="s">
        <v>37</v>
      </c>
      <c r="W99" s="44" t="s">
        <v>37</v>
      </c>
      <c r="X99" s="33">
        <v>420</v>
      </c>
      <c r="Y99" s="40">
        <f t="shared" si="129"/>
        <v>4.2407108239095308</v>
      </c>
      <c r="Z99" s="40">
        <f t="shared" si="130"/>
        <v>21.142464693435951</v>
      </c>
      <c r="AA99" s="40">
        <f t="shared" si="144"/>
        <v>27.011929901831937</v>
      </c>
      <c r="AC99" s="16">
        <f t="shared" si="131"/>
        <v>0.17298163592151028</v>
      </c>
      <c r="AD99" s="26">
        <f t="shared" si="132"/>
        <v>5.7809604740571769</v>
      </c>
      <c r="AE99" s="51">
        <v>16</v>
      </c>
      <c r="AF99" s="85" t="str">
        <f t="shared" si="133"/>
        <v>NOEC</v>
      </c>
      <c r="AG99" s="9">
        <f t="shared" si="134"/>
        <v>1</v>
      </c>
      <c r="AH99" s="18">
        <f t="shared" si="135"/>
        <v>27.011929901831937</v>
      </c>
      <c r="AI99" s="88" t="str">
        <f t="shared" si="136"/>
        <v>Chronic</v>
      </c>
      <c r="AJ99" s="9">
        <f t="shared" si="137"/>
        <v>1</v>
      </c>
      <c r="AK99" s="18">
        <f t="shared" si="138"/>
        <v>27.011929901831937</v>
      </c>
      <c r="AL99" s="16"/>
      <c r="AM99" s="132" t="str">
        <f t="shared" si="139"/>
        <v>NOEC</v>
      </c>
      <c r="AN99" s="67" t="s">
        <v>356</v>
      </c>
      <c r="AO99" s="88" t="str">
        <f t="shared" si="140"/>
        <v>Chronic</v>
      </c>
      <c r="AP99" s="67" t="str">
        <f t="shared" si="145"/>
        <v>y</v>
      </c>
      <c r="AQ99" s="69" t="str">
        <f t="shared" si="141"/>
        <v>Mean brood size/daphnid</v>
      </c>
      <c r="AR99" s="67" t="s">
        <v>475</v>
      </c>
      <c r="AS99" s="70">
        <f t="shared" si="142"/>
        <v>21</v>
      </c>
      <c r="AT99" s="67" t="s">
        <v>476</v>
      </c>
      <c r="AU99" s="67"/>
      <c r="AV99" s="82">
        <f t="shared" si="143"/>
        <v>27.011929901831937</v>
      </c>
      <c r="AW99" s="81">
        <f>GEOMEAN(AV99:AV99)</f>
        <v>27.011929901831937</v>
      </c>
      <c r="AX99" s="78">
        <f>MIN(AW99)</f>
        <v>27.011929901831937</v>
      </c>
      <c r="AY99" s="133"/>
    </row>
    <row r="100" spans="1:52" x14ac:dyDescent="0.2">
      <c r="A100" s="32" t="s">
        <v>89</v>
      </c>
      <c r="B100" s="33">
        <v>240</v>
      </c>
      <c r="C100" s="34" t="s">
        <v>24</v>
      </c>
      <c r="D100" s="35" t="s">
        <v>77</v>
      </c>
      <c r="E100" s="33" t="s">
        <v>61</v>
      </c>
      <c r="F100" s="33" t="s">
        <v>62</v>
      </c>
      <c r="G100" s="33" t="s">
        <v>52</v>
      </c>
      <c r="H100" s="33" t="s">
        <v>571</v>
      </c>
      <c r="I100" s="36" t="s">
        <v>78</v>
      </c>
      <c r="J100" s="36" t="s">
        <v>53</v>
      </c>
      <c r="K100" s="36" t="s">
        <v>53</v>
      </c>
      <c r="L100" s="36" t="s">
        <v>54</v>
      </c>
      <c r="M100" s="36">
        <v>21</v>
      </c>
      <c r="N100" s="33" t="s">
        <v>55</v>
      </c>
      <c r="O100" s="37" t="s">
        <v>33</v>
      </c>
      <c r="P100" s="38" t="s">
        <v>79</v>
      </c>
      <c r="Q100" s="33" t="s">
        <v>80</v>
      </c>
      <c r="R100" s="40">
        <v>19.8</v>
      </c>
      <c r="S100" s="33" t="s">
        <v>81</v>
      </c>
      <c r="T100" s="33">
        <v>8.4499999999999993</v>
      </c>
      <c r="U100" s="33">
        <v>9.9039999999999999</v>
      </c>
      <c r="V100" s="44" t="s">
        <v>37</v>
      </c>
      <c r="W100" s="44" t="s">
        <v>37</v>
      </c>
      <c r="X100" s="33">
        <v>420</v>
      </c>
      <c r="Y100" s="40">
        <f t="shared" si="129"/>
        <v>4.2407108239095308</v>
      </c>
      <c r="Z100" s="40">
        <f t="shared" si="130"/>
        <v>21.142464693435951</v>
      </c>
      <c r="AA100" s="40">
        <f t="shared" si="144"/>
        <v>27.011929901831937</v>
      </c>
      <c r="AC100" s="16">
        <f t="shared" si="131"/>
        <v>0.17298163592151028</v>
      </c>
      <c r="AD100" s="26">
        <f t="shared" si="132"/>
        <v>5.7809604740571769</v>
      </c>
      <c r="AE100" s="51">
        <v>16</v>
      </c>
      <c r="AF100" s="85" t="str">
        <f t="shared" si="133"/>
        <v>NOEC</v>
      </c>
      <c r="AG100" s="9">
        <f t="shared" si="134"/>
        <v>1</v>
      </c>
      <c r="AH100" s="18">
        <f t="shared" si="135"/>
        <v>27.011929901831937</v>
      </c>
      <c r="AI100" s="88" t="str">
        <f t="shared" si="136"/>
        <v>Chronic</v>
      </c>
      <c r="AJ100" s="9">
        <f t="shared" si="137"/>
        <v>1</v>
      </c>
      <c r="AK100" s="18">
        <f t="shared" si="138"/>
        <v>27.011929901831937</v>
      </c>
      <c r="AL100" s="16"/>
      <c r="AM100" s="110" t="str">
        <f t="shared" si="139"/>
        <v>NOEC</v>
      </c>
      <c r="AN100" s="111" t="s">
        <v>356</v>
      </c>
      <c r="AO100" s="112" t="str">
        <f t="shared" si="140"/>
        <v>Chronic</v>
      </c>
      <c r="AP100" s="111" t="str">
        <f t="shared" si="145"/>
        <v>y</v>
      </c>
      <c r="AQ100" s="134" t="str">
        <f t="shared" si="141"/>
        <v>Mortality</v>
      </c>
      <c r="AR100" s="111" t="s">
        <v>55</v>
      </c>
      <c r="AS100" s="114">
        <f t="shared" si="142"/>
        <v>21</v>
      </c>
      <c r="AT100" s="111" t="s">
        <v>477</v>
      </c>
      <c r="AU100" s="111"/>
      <c r="AV100" s="138">
        <f t="shared" si="143"/>
        <v>27.011929901831937</v>
      </c>
      <c r="AW100" s="135">
        <f>GEOMEAN(AV100:AV100)</f>
        <v>27.011929901831937</v>
      </c>
      <c r="AX100" s="136">
        <f>MIN(AW100)</f>
        <v>27.011929901831937</v>
      </c>
      <c r="AY100" s="137">
        <f>MIN(AX98:AX100)</f>
        <v>27.011929901831937</v>
      </c>
    </row>
    <row r="101" spans="1:52" x14ac:dyDescent="0.2">
      <c r="A101" s="19" t="s">
        <v>90</v>
      </c>
      <c r="B101" s="23">
        <v>231</v>
      </c>
      <c r="C101" s="10" t="s">
        <v>24</v>
      </c>
      <c r="D101" s="11" t="s">
        <v>91</v>
      </c>
      <c r="E101" s="9" t="s">
        <v>61</v>
      </c>
      <c r="F101" s="9" t="s">
        <v>92</v>
      </c>
      <c r="G101" s="9" t="s">
        <v>93</v>
      </c>
      <c r="H101" s="9" t="s">
        <v>571</v>
      </c>
      <c r="I101" s="9" t="s">
        <v>94</v>
      </c>
      <c r="J101" s="12" t="s">
        <v>53</v>
      </c>
      <c r="K101" s="12" t="s">
        <v>95</v>
      </c>
      <c r="L101" s="12" t="s">
        <v>54</v>
      </c>
      <c r="M101" s="9">
        <v>29</v>
      </c>
      <c r="N101" s="9" t="s">
        <v>55</v>
      </c>
      <c r="O101" s="9" t="s">
        <v>33</v>
      </c>
      <c r="P101" s="14" t="s">
        <v>96</v>
      </c>
      <c r="Q101" s="23">
        <v>15.8</v>
      </c>
      <c r="R101" s="94">
        <v>15.8</v>
      </c>
      <c r="S101" s="9">
        <v>8.3699999999999992</v>
      </c>
      <c r="T101" s="9">
        <v>8.3699999999999992</v>
      </c>
      <c r="U101" s="9">
        <v>6.3609999999999998</v>
      </c>
      <c r="V101" s="9">
        <v>0.94899999999999995</v>
      </c>
      <c r="W101" s="9">
        <v>66</v>
      </c>
      <c r="X101" s="9">
        <v>66</v>
      </c>
      <c r="Y101" s="9">
        <v>0.94899999999999995</v>
      </c>
      <c r="Z101" s="15">
        <f t="shared" si="130"/>
        <v>4.1349303568432507</v>
      </c>
      <c r="AA101" s="15">
        <f t="shared" si="144"/>
        <v>4.0819548740082272</v>
      </c>
      <c r="AC101" s="16">
        <f t="shared" si="131"/>
        <v>0.20796966871036979</v>
      </c>
      <c r="AD101" s="26">
        <f t="shared" si="132"/>
        <v>4.8083934844972802</v>
      </c>
      <c r="AE101" s="51">
        <v>16</v>
      </c>
      <c r="AF101" s="85" t="str">
        <f t="shared" si="133"/>
        <v>NOEC</v>
      </c>
      <c r="AG101" s="9">
        <f t="shared" si="134"/>
        <v>1</v>
      </c>
      <c r="AH101" s="18">
        <f t="shared" si="135"/>
        <v>4.0819548740082272</v>
      </c>
      <c r="AI101" s="88" t="str">
        <f t="shared" si="136"/>
        <v>Chronic</v>
      </c>
      <c r="AJ101" s="9">
        <f t="shared" si="137"/>
        <v>1</v>
      </c>
      <c r="AK101" s="18">
        <f t="shared" si="138"/>
        <v>4.0819548740082272</v>
      </c>
      <c r="AL101" s="16"/>
      <c r="AM101" s="127" t="str">
        <f t="shared" si="139"/>
        <v>NOEC</v>
      </c>
      <c r="AN101" s="128" t="s">
        <v>356</v>
      </c>
      <c r="AO101" s="129" t="str">
        <f t="shared" si="140"/>
        <v>Chronic</v>
      </c>
      <c r="AP101" s="128" t="str">
        <f t="shared" si="145"/>
        <v>y</v>
      </c>
      <c r="AQ101" s="130" t="str">
        <f t="shared" si="141"/>
        <v>Mortality (of juvenile Deleatidium sp.)</v>
      </c>
      <c r="AR101" s="128" t="s">
        <v>459</v>
      </c>
      <c r="AS101" s="131">
        <f t="shared" si="142"/>
        <v>29</v>
      </c>
      <c r="AT101" s="128" t="s">
        <v>460</v>
      </c>
      <c r="AU101" s="128"/>
      <c r="AV101" s="143">
        <f t="shared" si="143"/>
        <v>4.0819548740082272</v>
      </c>
      <c r="AW101" s="144">
        <f t="shared" ref="AW101:AW102" si="146">GEOMEAN(AV101:AV101)</f>
        <v>4.0819548740082272</v>
      </c>
      <c r="AX101" s="141">
        <f>MIN(AW101)</f>
        <v>4.0819548740082272</v>
      </c>
      <c r="AY101" s="142">
        <f>MIN(AX101:AX101)</f>
        <v>4.0819548740082272</v>
      </c>
    </row>
    <row r="102" spans="1:52" x14ac:dyDescent="0.2">
      <c r="A102" s="32" t="s">
        <v>97</v>
      </c>
      <c r="B102" s="44">
        <v>221</v>
      </c>
      <c r="C102" s="34" t="s">
        <v>24</v>
      </c>
      <c r="D102" s="35" t="s">
        <v>98</v>
      </c>
      <c r="E102" s="33" t="s">
        <v>61</v>
      </c>
      <c r="F102" s="33" t="s">
        <v>99</v>
      </c>
      <c r="G102" s="33" t="s">
        <v>93</v>
      </c>
      <c r="H102" s="33" t="s">
        <v>571</v>
      </c>
      <c r="I102" s="36" t="s">
        <v>100</v>
      </c>
      <c r="J102" s="36" t="s">
        <v>64</v>
      </c>
      <c r="K102" s="44" t="s">
        <v>101</v>
      </c>
      <c r="L102" s="36" t="s">
        <v>54</v>
      </c>
      <c r="M102" s="36">
        <v>10</v>
      </c>
      <c r="N102" s="33" t="s">
        <v>102</v>
      </c>
      <c r="O102" s="33" t="s">
        <v>33</v>
      </c>
      <c r="P102" s="45" t="s">
        <v>103</v>
      </c>
      <c r="Q102" s="44">
        <v>25</v>
      </c>
      <c r="R102" s="44">
        <v>25</v>
      </c>
      <c r="S102" s="33" t="s">
        <v>104</v>
      </c>
      <c r="T102" s="33">
        <v>8.0399999999999991</v>
      </c>
      <c r="U102" s="46">
        <v>5.8536524151080886</v>
      </c>
      <c r="V102" s="33">
        <v>2.5</v>
      </c>
      <c r="W102" s="33" t="s">
        <v>37</v>
      </c>
      <c r="X102" s="39">
        <f t="shared" ref="X102" si="147">(V102)*(U102/100)*1000</f>
        <v>146.3413103777022</v>
      </c>
      <c r="Y102" s="33">
        <v>2.5</v>
      </c>
      <c r="Z102" s="40">
        <f t="shared" si="130"/>
        <v>6.4367096033276967</v>
      </c>
      <c r="AA102" s="40">
        <f t="shared" si="144"/>
        <v>11.499101729275806</v>
      </c>
      <c r="AC102" s="16">
        <f t="shared" si="131"/>
        <v>0.4446312674691093</v>
      </c>
      <c r="AD102" s="26">
        <f t="shared" si="132"/>
        <v>2.2490546058357781</v>
      </c>
      <c r="AE102" s="51">
        <v>16</v>
      </c>
      <c r="AF102" s="85" t="str">
        <f t="shared" si="133"/>
        <v>NOEC</v>
      </c>
      <c r="AG102" s="9">
        <f t="shared" si="134"/>
        <v>1</v>
      </c>
      <c r="AH102" s="18">
        <f t="shared" si="135"/>
        <v>11.499101729275806</v>
      </c>
      <c r="AI102" s="88" t="str">
        <f t="shared" si="136"/>
        <v>Chronic</v>
      </c>
      <c r="AJ102" s="9">
        <f t="shared" si="137"/>
        <v>1</v>
      </c>
      <c r="AK102" s="18">
        <f t="shared" si="138"/>
        <v>11.499101729275806</v>
      </c>
      <c r="AL102" s="16"/>
      <c r="AM102" s="101" t="str">
        <f t="shared" si="139"/>
        <v>NOEC</v>
      </c>
      <c r="AN102" s="102" t="s">
        <v>356</v>
      </c>
      <c r="AO102" s="103" t="str">
        <f t="shared" si="140"/>
        <v>Chronic</v>
      </c>
      <c r="AP102" s="102" t="str">
        <f t="shared" si="145"/>
        <v>y</v>
      </c>
      <c r="AQ102" s="104" t="str">
        <f t="shared" si="141"/>
        <v>Reproduction (average young per replicate)</v>
      </c>
      <c r="AR102" s="102" t="s">
        <v>459</v>
      </c>
      <c r="AS102" s="105">
        <f t="shared" si="142"/>
        <v>10</v>
      </c>
      <c r="AT102" s="102" t="s">
        <v>460</v>
      </c>
      <c r="AU102" s="102"/>
      <c r="AV102" s="106">
        <f t="shared" si="143"/>
        <v>11.499101729275806</v>
      </c>
      <c r="AW102" s="107">
        <f t="shared" si="146"/>
        <v>11.499101729275806</v>
      </c>
      <c r="AX102" s="78">
        <f>MIN(AW102:AW102)</f>
        <v>11.499101729275806</v>
      </c>
      <c r="AY102" s="109">
        <f>MIN(AX102:AX102)</f>
        <v>11.499101729275806</v>
      </c>
    </row>
    <row r="103" spans="1:52" x14ac:dyDescent="0.2">
      <c r="A103" s="19" t="s">
        <v>119</v>
      </c>
      <c r="B103" s="9">
        <v>235</v>
      </c>
      <c r="C103" s="10" t="s">
        <v>24</v>
      </c>
      <c r="D103" s="11" t="s">
        <v>120</v>
      </c>
      <c r="E103" s="9" t="s">
        <v>121</v>
      </c>
      <c r="F103" s="9" t="s">
        <v>122</v>
      </c>
      <c r="G103" s="9" t="s">
        <v>52</v>
      </c>
      <c r="H103" s="9" t="s">
        <v>571</v>
      </c>
      <c r="I103" s="12" t="s">
        <v>37</v>
      </c>
      <c r="J103" s="12" t="s">
        <v>123</v>
      </c>
      <c r="K103" s="12" t="s">
        <v>123</v>
      </c>
      <c r="L103" s="12" t="s">
        <v>54</v>
      </c>
      <c r="M103" s="12">
        <v>40</v>
      </c>
      <c r="N103" s="9" t="s">
        <v>55</v>
      </c>
      <c r="O103" s="13" t="s">
        <v>33</v>
      </c>
      <c r="P103" s="14" t="s">
        <v>56</v>
      </c>
      <c r="Q103" s="9" t="s">
        <v>438</v>
      </c>
      <c r="R103" s="9">
        <v>15.3</v>
      </c>
      <c r="S103" s="9" t="s">
        <v>124</v>
      </c>
      <c r="T103" s="9">
        <v>8.1</v>
      </c>
      <c r="U103" s="9">
        <v>3.3940000000000001</v>
      </c>
      <c r="V103" s="18">
        <v>2.1</v>
      </c>
      <c r="W103" s="9">
        <v>70</v>
      </c>
      <c r="X103" s="9">
        <v>70</v>
      </c>
      <c r="Y103" s="18">
        <v>2.1</v>
      </c>
      <c r="Z103" s="15">
        <f t="shared" si="130"/>
        <v>5.9178920071141139</v>
      </c>
      <c r="AA103" s="15">
        <f t="shared" si="144"/>
        <v>5.6567506529760276</v>
      </c>
      <c r="AC103" s="16">
        <f t="shared" si="131"/>
        <v>0.38725764492161724</v>
      </c>
      <c r="AD103" s="26">
        <f t="shared" si="132"/>
        <v>2.5822601906345959</v>
      </c>
      <c r="AE103" s="51">
        <v>16</v>
      </c>
      <c r="AF103" s="85" t="str">
        <f t="shared" si="133"/>
        <v>NOEC</v>
      </c>
      <c r="AG103" s="9">
        <f t="shared" si="134"/>
        <v>1</v>
      </c>
      <c r="AH103" s="18">
        <f t="shared" si="135"/>
        <v>5.6567506529760276</v>
      </c>
      <c r="AI103" s="88" t="str">
        <f t="shared" si="136"/>
        <v>Chronic</v>
      </c>
      <c r="AJ103" s="9">
        <f t="shared" si="137"/>
        <v>1</v>
      </c>
      <c r="AK103" s="18">
        <f t="shared" si="138"/>
        <v>5.6567506529760276</v>
      </c>
      <c r="AL103" s="16"/>
      <c r="AM103" s="127" t="str">
        <f t="shared" si="139"/>
        <v>NOEC</v>
      </c>
      <c r="AN103" s="128" t="s">
        <v>356</v>
      </c>
      <c r="AO103" s="129" t="str">
        <f t="shared" si="140"/>
        <v>Chronic</v>
      </c>
      <c r="AP103" s="128" t="str">
        <f t="shared" si="145"/>
        <v>y</v>
      </c>
      <c r="AQ103" s="130" t="str">
        <f t="shared" si="141"/>
        <v>Immobility</v>
      </c>
      <c r="AR103" s="128" t="s">
        <v>459</v>
      </c>
      <c r="AS103" s="131">
        <f t="shared" si="142"/>
        <v>40</v>
      </c>
      <c r="AT103" s="128" t="s">
        <v>460</v>
      </c>
      <c r="AU103" s="128"/>
      <c r="AV103" s="143">
        <f>AK103</f>
        <v>5.6567506529760276</v>
      </c>
      <c r="AW103" s="144">
        <f>GEOMEAN(AV103:AV103)</f>
        <v>5.6567506529760276</v>
      </c>
      <c r="AX103" s="148">
        <f>MIN(AW103)</f>
        <v>5.6567506529760276</v>
      </c>
      <c r="AY103" s="149">
        <f>MIN(AX103)</f>
        <v>5.6567506529760276</v>
      </c>
    </row>
    <row r="104" spans="1:52" x14ac:dyDescent="0.2">
      <c r="A104" s="32" t="s">
        <v>132</v>
      </c>
      <c r="B104" s="33">
        <v>254</v>
      </c>
      <c r="C104" s="34" t="s">
        <v>24</v>
      </c>
      <c r="D104" s="35" t="s">
        <v>126</v>
      </c>
      <c r="E104" s="33" t="s">
        <v>121</v>
      </c>
      <c r="F104" s="33" t="s">
        <v>127</v>
      </c>
      <c r="G104" s="33" t="s">
        <v>52</v>
      </c>
      <c r="H104" s="33" t="s">
        <v>571</v>
      </c>
      <c r="I104" s="36" t="s">
        <v>128</v>
      </c>
      <c r="J104" s="36" t="s">
        <v>53</v>
      </c>
      <c r="K104" s="36" t="s">
        <v>53</v>
      </c>
      <c r="L104" s="36" t="s">
        <v>133</v>
      </c>
      <c r="M104" s="36">
        <v>28</v>
      </c>
      <c r="N104" s="33" t="s">
        <v>55</v>
      </c>
      <c r="O104" s="37" t="s">
        <v>33</v>
      </c>
      <c r="P104" s="38" t="s">
        <v>129</v>
      </c>
      <c r="Q104" s="33" t="s">
        <v>130</v>
      </c>
      <c r="R104" s="33">
        <v>20</v>
      </c>
      <c r="S104" s="33" t="s">
        <v>131</v>
      </c>
      <c r="T104" s="33">
        <v>8.1999999999999993</v>
      </c>
      <c r="U104" s="33">
        <v>5.9020000000000001</v>
      </c>
      <c r="V104" s="33" t="s">
        <v>134</v>
      </c>
      <c r="W104" s="33" t="s">
        <v>37</v>
      </c>
      <c r="X104" s="33">
        <v>7.67</v>
      </c>
      <c r="Y104" s="33">
        <v>0.13</v>
      </c>
      <c r="Z104" s="40">
        <f t="shared" si="130"/>
        <v>0.4284575216169903</v>
      </c>
      <c r="AA104" s="40">
        <f t="shared" si="144"/>
        <v>0.55450794271467629</v>
      </c>
      <c r="AB104" t="s">
        <v>577</v>
      </c>
      <c r="AC104" s="16">
        <f t="shared" si="131"/>
        <v>0.30760968147407108</v>
      </c>
      <c r="AD104" s="26">
        <f t="shared" si="132"/>
        <v>3.2508729738543409</v>
      </c>
      <c r="AE104" s="51">
        <v>16</v>
      </c>
      <c r="AF104" s="85" t="str">
        <f t="shared" si="133"/>
        <v>IC10</v>
      </c>
      <c r="AG104" s="9">
        <f t="shared" si="134"/>
        <v>1</v>
      </c>
      <c r="AH104" s="18">
        <f t="shared" si="135"/>
        <v>0.55450794271467629</v>
      </c>
      <c r="AI104" s="88" t="str">
        <f t="shared" si="136"/>
        <v>Chronic</v>
      </c>
      <c r="AJ104" s="9">
        <f t="shared" si="137"/>
        <v>1</v>
      </c>
      <c r="AK104" s="18">
        <f t="shared" si="138"/>
        <v>0.55450794271467629</v>
      </c>
      <c r="AL104" s="16"/>
      <c r="AM104" s="132" t="str">
        <f t="shared" si="139"/>
        <v>IC10</v>
      </c>
      <c r="AN104" s="67" t="s">
        <v>356</v>
      </c>
      <c r="AO104" s="88" t="str">
        <f t="shared" si="140"/>
        <v>Chronic</v>
      </c>
      <c r="AP104" s="67" t="str">
        <f t="shared" si="145"/>
        <v>y</v>
      </c>
      <c r="AQ104" s="69" t="str">
        <f t="shared" si="141"/>
        <v>Mortality</v>
      </c>
      <c r="AR104" s="67" t="s">
        <v>459</v>
      </c>
      <c r="AS104" s="70">
        <f t="shared" si="142"/>
        <v>28</v>
      </c>
      <c r="AT104" s="67" t="s">
        <v>460</v>
      </c>
      <c r="AU104" s="67"/>
      <c r="AV104" s="151">
        <f>AK104</f>
        <v>0.55450794271467629</v>
      </c>
      <c r="AW104" s="95">
        <f>GEOMEAN(AV104:AV104)</f>
        <v>0.55450794271467629</v>
      </c>
      <c r="AX104" s="96">
        <f>MIN(AW104)</f>
        <v>0.55450794271467629</v>
      </c>
      <c r="AY104" s="153">
        <f>MIN(AX104)</f>
        <v>0.55450794271467629</v>
      </c>
    </row>
    <row r="105" spans="1:52" x14ac:dyDescent="0.2">
      <c r="A105" s="19" t="s">
        <v>144</v>
      </c>
      <c r="B105" s="9">
        <v>253</v>
      </c>
      <c r="C105" s="10" t="s">
        <v>24</v>
      </c>
      <c r="D105" s="11" t="s">
        <v>139</v>
      </c>
      <c r="E105" s="9" t="s">
        <v>121</v>
      </c>
      <c r="F105" s="9" t="s">
        <v>127</v>
      </c>
      <c r="G105" s="9" t="s">
        <v>52</v>
      </c>
      <c r="H105" s="9" t="s">
        <v>571</v>
      </c>
      <c r="I105" s="12" t="s">
        <v>140</v>
      </c>
      <c r="J105" s="12" t="s">
        <v>53</v>
      </c>
      <c r="K105" s="12" t="s">
        <v>53</v>
      </c>
      <c r="L105" s="12" t="s">
        <v>31</v>
      </c>
      <c r="M105" s="12">
        <v>28</v>
      </c>
      <c r="N105" s="9" t="s">
        <v>55</v>
      </c>
      <c r="O105" s="13" t="s">
        <v>33</v>
      </c>
      <c r="P105" s="14" t="s">
        <v>141</v>
      </c>
      <c r="Q105" s="9">
        <v>20</v>
      </c>
      <c r="R105" s="9">
        <v>20</v>
      </c>
      <c r="S105" s="9" t="s">
        <v>142</v>
      </c>
      <c r="T105" s="9">
        <v>8.26</v>
      </c>
      <c r="U105" s="9">
        <v>6.718</v>
      </c>
      <c r="V105" s="9">
        <v>0.54</v>
      </c>
      <c r="W105" s="9" t="s">
        <v>37</v>
      </c>
      <c r="X105" s="9">
        <v>36.299999999999997</v>
      </c>
      <c r="Y105" s="9">
        <v>0.54</v>
      </c>
      <c r="Z105" s="15">
        <f t="shared" si="130"/>
        <v>1.9610361754850452</v>
      </c>
      <c r="AA105" s="15">
        <f t="shared" si="144"/>
        <v>2.5379648632457306</v>
      </c>
      <c r="AC105" s="16">
        <f t="shared" si="131"/>
        <v>0.26791683248190312</v>
      </c>
      <c r="AD105" s="26">
        <f t="shared" si="132"/>
        <v>3.7325015779572066</v>
      </c>
      <c r="AE105" s="51">
        <v>16</v>
      </c>
      <c r="AF105" s="85" t="str">
        <f t="shared" si="133"/>
        <v>EC10</v>
      </c>
      <c r="AG105" s="9">
        <f t="shared" si="134"/>
        <v>1</v>
      </c>
      <c r="AH105" s="18">
        <f t="shared" si="135"/>
        <v>2.5379648632457306</v>
      </c>
      <c r="AI105" s="88" t="str">
        <f t="shared" si="136"/>
        <v>Chronic</v>
      </c>
      <c r="AJ105" s="9">
        <f t="shared" si="137"/>
        <v>1</v>
      </c>
      <c r="AK105" s="18">
        <f t="shared" si="138"/>
        <v>2.5379648632457306</v>
      </c>
      <c r="AM105" s="101" t="str">
        <f t="shared" si="139"/>
        <v>EC10</v>
      </c>
      <c r="AN105" s="102" t="s">
        <v>356</v>
      </c>
      <c r="AO105" s="103" t="str">
        <f t="shared" si="140"/>
        <v>Chronic</v>
      </c>
      <c r="AP105" s="102" t="str">
        <f t="shared" si="145"/>
        <v>y</v>
      </c>
      <c r="AQ105" s="104" t="str">
        <f t="shared" si="141"/>
        <v>Mortality</v>
      </c>
      <c r="AR105" s="196" t="s">
        <v>459</v>
      </c>
      <c r="AS105" s="105">
        <f t="shared" si="142"/>
        <v>28</v>
      </c>
      <c r="AT105" s="158" t="s">
        <v>460</v>
      </c>
      <c r="AU105" s="197"/>
      <c r="AV105" s="154">
        <f t="shared" ref="AV105:AV108" si="148">AK105</f>
        <v>2.5379648632457306</v>
      </c>
      <c r="AW105" s="155"/>
      <c r="AX105" s="197"/>
      <c r="AY105" s="198"/>
    </row>
    <row r="106" spans="1:52" x14ac:dyDescent="0.2">
      <c r="A106" s="19" t="s">
        <v>146</v>
      </c>
      <c r="B106" s="9">
        <v>254</v>
      </c>
      <c r="C106" s="10" t="s">
        <v>24</v>
      </c>
      <c r="D106" s="11" t="s">
        <v>139</v>
      </c>
      <c r="E106" s="9" t="s">
        <v>121</v>
      </c>
      <c r="F106" s="9" t="s">
        <v>127</v>
      </c>
      <c r="G106" s="9" t="s">
        <v>52</v>
      </c>
      <c r="H106" s="9" t="s">
        <v>571</v>
      </c>
      <c r="I106" s="12" t="s">
        <v>140</v>
      </c>
      <c r="J106" s="12" t="s">
        <v>53</v>
      </c>
      <c r="K106" s="12" t="s">
        <v>53</v>
      </c>
      <c r="L106" s="12" t="s">
        <v>133</v>
      </c>
      <c r="M106" s="12">
        <v>28</v>
      </c>
      <c r="N106" s="9" t="s">
        <v>55</v>
      </c>
      <c r="O106" s="13" t="s">
        <v>33</v>
      </c>
      <c r="P106" s="14" t="s">
        <v>129</v>
      </c>
      <c r="Q106" s="9" t="s">
        <v>130</v>
      </c>
      <c r="R106" s="9">
        <v>20</v>
      </c>
      <c r="S106" s="9" t="s">
        <v>131</v>
      </c>
      <c r="T106" s="9">
        <v>8.1999999999999993</v>
      </c>
      <c r="U106" s="9">
        <v>5.9020000000000001</v>
      </c>
      <c r="V106" s="9" t="s">
        <v>134</v>
      </c>
      <c r="W106" s="9" t="s">
        <v>37</v>
      </c>
      <c r="X106" s="9">
        <v>7.67</v>
      </c>
      <c r="Y106" s="9">
        <v>0.13</v>
      </c>
      <c r="Z106" s="15">
        <f t="shared" si="130"/>
        <v>0.4284575216169903</v>
      </c>
      <c r="AA106" s="15">
        <f t="shared" si="144"/>
        <v>0.55450794271467629</v>
      </c>
      <c r="AB106" t="s">
        <v>577</v>
      </c>
      <c r="AC106" s="16">
        <f t="shared" si="131"/>
        <v>0.30760968147407108</v>
      </c>
      <c r="AD106" s="26">
        <f t="shared" si="132"/>
        <v>3.2508729738543409</v>
      </c>
      <c r="AE106" s="51">
        <v>16</v>
      </c>
      <c r="AF106" s="85" t="str">
        <f t="shared" si="133"/>
        <v>IC10</v>
      </c>
      <c r="AG106" s="9">
        <f t="shared" si="134"/>
        <v>1</v>
      </c>
      <c r="AH106" s="18">
        <f t="shared" si="135"/>
        <v>0.55450794271467629</v>
      </c>
      <c r="AI106" s="88" t="str">
        <f t="shared" si="136"/>
        <v>Chronic</v>
      </c>
      <c r="AJ106" s="9">
        <f t="shared" si="137"/>
        <v>1</v>
      </c>
      <c r="AK106" s="18">
        <f t="shared" si="138"/>
        <v>0.55450794271467629</v>
      </c>
      <c r="AL106" s="16"/>
      <c r="AM106" s="110" t="str">
        <f t="shared" si="139"/>
        <v>IC10</v>
      </c>
      <c r="AN106" s="111" t="s">
        <v>356</v>
      </c>
      <c r="AO106" s="112" t="str">
        <f t="shared" si="140"/>
        <v>Chronic</v>
      </c>
      <c r="AP106" s="111" t="str">
        <f t="shared" si="145"/>
        <v>y</v>
      </c>
      <c r="AQ106" s="134" t="str">
        <f t="shared" si="141"/>
        <v>Mortality</v>
      </c>
      <c r="AR106" s="199" t="s">
        <v>459</v>
      </c>
      <c r="AS106" s="114">
        <f t="shared" si="142"/>
        <v>28</v>
      </c>
      <c r="AT106" s="199" t="s">
        <v>460</v>
      </c>
      <c r="AU106" s="200"/>
      <c r="AV106" s="152">
        <f t="shared" si="148"/>
        <v>0.55450794271467629</v>
      </c>
      <c r="AW106" s="140">
        <f>GEOMEAN(AV105:AV106)</f>
        <v>1.1863058943630538</v>
      </c>
      <c r="AX106" s="141">
        <f>MIN(AW106)</f>
        <v>1.1863058943630538</v>
      </c>
      <c r="AY106" s="142">
        <f>MIN(AX106:AX106)</f>
        <v>1.1863058943630538</v>
      </c>
    </row>
    <row r="107" spans="1:52" x14ac:dyDescent="0.2">
      <c r="A107" s="32" t="s">
        <v>148</v>
      </c>
      <c r="B107" s="33">
        <v>256</v>
      </c>
      <c r="C107" s="38" t="s">
        <v>24</v>
      </c>
      <c r="D107" s="35" t="s">
        <v>149</v>
      </c>
      <c r="E107" s="33" t="s">
        <v>121</v>
      </c>
      <c r="F107" s="33" t="s">
        <v>127</v>
      </c>
      <c r="G107" s="33" t="s">
        <v>52</v>
      </c>
      <c r="H107" s="33" t="s">
        <v>571</v>
      </c>
      <c r="I107" s="33" t="s">
        <v>37</v>
      </c>
      <c r="J107" s="36" t="s">
        <v>53</v>
      </c>
      <c r="K107" s="36" t="s">
        <v>53</v>
      </c>
      <c r="L107" s="36" t="s">
        <v>54</v>
      </c>
      <c r="M107" s="36">
        <v>6</v>
      </c>
      <c r="N107" s="33" t="s">
        <v>102</v>
      </c>
      <c r="O107" s="37" t="s">
        <v>33</v>
      </c>
      <c r="P107" s="38" t="s">
        <v>150</v>
      </c>
      <c r="Q107" s="33" t="s">
        <v>151</v>
      </c>
      <c r="R107" s="33">
        <v>21.8</v>
      </c>
      <c r="S107" s="33" t="s">
        <v>152</v>
      </c>
      <c r="T107" s="33">
        <v>7.8</v>
      </c>
      <c r="U107" s="33">
        <v>2.7679999999999998</v>
      </c>
      <c r="V107" s="33" t="s">
        <v>37</v>
      </c>
      <c r="W107" s="33">
        <v>30</v>
      </c>
      <c r="X107" s="33">
        <v>30</v>
      </c>
      <c r="Y107" s="40">
        <f t="shared" ref="Y107" si="149">X107/((U107/100)*1000)</f>
        <v>1.0838150289017343</v>
      </c>
      <c r="Z107" s="40">
        <f t="shared" si="130"/>
        <v>2.0127302212112239</v>
      </c>
      <c r="AA107" s="40">
        <f t="shared" si="144"/>
        <v>2.9254020917559118</v>
      </c>
      <c r="AB107" s="16"/>
      <c r="AC107" s="16">
        <f t="shared" si="131"/>
        <v>0.77268058509570214</v>
      </c>
      <c r="AD107" s="26">
        <f t="shared" si="132"/>
        <v>1.2941958414499863</v>
      </c>
      <c r="AE107" s="51">
        <v>16</v>
      </c>
      <c r="AF107" s="85" t="str">
        <f t="shared" si="133"/>
        <v>NOEC</v>
      </c>
      <c r="AG107" s="9">
        <f t="shared" si="134"/>
        <v>1</v>
      </c>
      <c r="AH107" s="18">
        <f t="shared" si="135"/>
        <v>2.9254020917559118</v>
      </c>
      <c r="AI107" s="88" t="str">
        <f t="shared" si="136"/>
        <v>Chronic</v>
      </c>
      <c r="AJ107" s="9">
        <f t="shared" si="137"/>
        <v>1</v>
      </c>
      <c r="AK107" s="18">
        <f t="shared" si="138"/>
        <v>2.9254020917559118</v>
      </c>
      <c r="AL107" s="16"/>
      <c r="AM107" s="101" t="str">
        <f t="shared" si="139"/>
        <v>NOEC</v>
      </c>
      <c r="AN107" s="102" t="s">
        <v>356</v>
      </c>
      <c r="AO107" s="103" t="str">
        <f t="shared" si="140"/>
        <v>Chronic</v>
      </c>
      <c r="AP107" s="102" t="str">
        <f t="shared" si="145"/>
        <v>y</v>
      </c>
      <c r="AQ107" s="104" t="str">
        <f t="shared" si="141"/>
        <v>Mortality</v>
      </c>
      <c r="AR107" s="102" t="s">
        <v>459</v>
      </c>
      <c r="AS107" s="105">
        <f t="shared" si="142"/>
        <v>6</v>
      </c>
      <c r="AT107" s="102" t="s">
        <v>460</v>
      </c>
      <c r="AU107" s="102"/>
      <c r="AV107" s="154">
        <f t="shared" si="148"/>
        <v>2.9254020917559118</v>
      </c>
      <c r="AW107" s="118">
        <f>GEOMEAN(AV107)</f>
        <v>2.9254020917559118</v>
      </c>
      <c r="AX107" s="119">
        <f>MIN(AW107:AW107)</f>
        <v>2.9254020917559118</v>
      </c>
      <c r="AY107" s="126">
        <f>MIN(AX107)</f>
        <v>2.9254020917559118</v>
      </c>
    </row>
    <row r="108" spans="1:52" x14ac:dyDescent="0.2">
      <c r="A108" s="8" t="s">
        <v>168</v>
      </c>
      <c r="B108" s="9">
        <v>242</v>
      </c>
      <c r="C108" s="10" t="s">
        <v>24</v>
      </c>
      <c r="D108" s="11" t="s">
        <v>155</v>
      </c>
      <c r="E108" s="9" t="s">
        <v>121</v>
      </c>
      <c r="F108" s="9" t="s">
        <v>127</v>
      </c>
      <c r="G108" s="9" t="s">
        <v>52</v>
      </c>
      <c r="H108" s="9" t="s">
        <v>571</v>
      </c>
      <c r="I108" s="12" t="s">
        <v>156</v>
      </c>
      <c r="J108" s="12" t="s">
        <v>136</v>
      </c>
      <c r="K108" s="12" t="s">
        <v>169</v>
      </c>
      <c r="L108" s="12" t="s">
        <v>54</v>
      </c>
      <c r="M108" s="12">
        <v>60</v>
      </c>
      <c r="N108" s="9" t="s">
        <v>55</v>
      </c>
      <c r="O108" s="13" t="s">
        <v>33</v>
      </c>
      <c r="P108" s="14" t="s">
        <v>157</v>
      </c>
      <c r="Q108" s="9">
        <v>20</v>
      </c>
      <c r="R108" s="9">
        <v>20</v>
      </c>
      <c r="S108" s="28" t="s">
        <v>158</v>
      </c>
      <c r="T108" s="28">
        <v>7.73</v>
      </c>
      <c r="U108" s="26" t="s">
        <v>170</v>
      </c>
      <c r="V108" s="9">
        <v>0.65</v>
      </c>
      <c r="W108" s="9">
        <v>12</v>
      </c>
      <c r="X108" s="9">
        <v>12</v>
      </c>
      <c r="Y108" s="9">
        <v>0.65</v>
      </c>
      <c r="Z108" s="15">
        <f t="shared" si="130"/>
        <v>1.1105489745328638</v>
      </c>
      <c r="AA108" s="15">
        <f t="shared" si="144"/>
        <v>1.4372678645669787</v>
      </c>
      <c r="AC108" s="16">
        <f t="shared" si="131"/>
        <v>0.90782053017818432</v>
      </c>
      <c r="AD108" s="26">
        <f t="shared" si="132"/>
        <v>1.1015393095414168</v>
      </c>
      <c r="AE108" s="51">
        <v>16</v>
      </c>
      <c r="AF108" s="85" t="str">
        <f t="shared" si="133"/>
        <v>NOEC</v>
      </c>
      <c r="AG108" s="9">
        <f t="shared" si="134"/>
        <v>1</v>
      </c>
      <c r="AH108" s="18">
        <f t="shared" si="135"/>
        <v>1.4372678645669787</v>
      </c>
      <c r="AI108" s="88" t="str">
        <f t="shared" si="136"/>
        <v>Chronic</v>
      </c>
      <c r="AJ108" s="9">
        <f t="shared" si="137"/>
        <v>1</v>
      </c>
      <c r="AK108" s="18">
        <f t="shared" si="138"/>
        <v>1.4372678645669787</v>
      </c>
      <c r="AL108" s="16"/>
      <c r="AM108" s="110" t="str">
        <f t="shared" si="139"/>
        <v>NOEC</v>
      </c>
      <c r="AN108" s="111" t="s">
        <v>356</v>
      </c>
      <c r="AO108" s="112" t="str">
        <f t="shared" si="140"/>
        <v>Chronic</v>
      </c>
      <c r="AP108" s="111" t="str">
        <f t="shared" si="145"/>
        <v>y</v>
      </c>
      <c r="AQ108" s="134" t="str">
        <f t="shared" si="141"/>
        <v>Length</v>
      </c>
      <c r="AR108" s="111" t="s">
        <v>475</v>
      </c>
      <c r="AS108" s="114">
        <f t="shared" si="142"/>
        <v>60</v>
      </c>
      <c r="AT108" s="111" t="s">
        <v>476</v>
      </c>
      <c r="AU108" s="111"/>
      <c r="AV108" s="152">
        <f t="shared" si="148"/>
        <v>1.4372678645669787</v>
      </c>
      <c r="AW108" s="140">
        <f>GEOMEAN(AV108)</f>
        <v>1.4372678645669787</v>
      </c>
      <c r="AX108" s="141">
        <f>MIN(AW108)</f>
        <v>1.4372678645669787</v>
      </c>
      <c r="AY108" s="142">
        <f>MIN(AX108:AX108)</f>
        <v>1.4372678645669787</v>
      </c>
    </row>
    <row r="109" spans="1:52" x14ac:dyDescent="0.2">
      <c r="A109" s="32" t="s">
        <v>176</v>
      </c>
      <c r="B109" s="33">
        <v>254</v>
      </c>
      <c r="C109" s="34" t="s">
        <v>24</v>
      </c>
      <c r="D109" s="35" t="s">
        <v>172</v>
      </c>
      <c r="E109" s="33" t="s">
        <v>121</v>
      </c>
      <c r="F109" s="33" t="s">
        <v>127</v>
      </c>
      <c r="G109" s="33" t="s">
        <v>52</v>
      </c>
      <c r="H109" s="33" t="s">
        <v>571</v>
      </c>
      <c r="I109" s="36" t="s">
        <v>128</v>
      </c>
      <c r="J109" s="36" t="s">
        <v>177</v>
      </c>
      <c r="K109" s="36" t="s">
        <v>137</v>
      </c>
      <c r="L109" s="36" t="s">
        <v>133</v>
      </c>
      <c r="M109" s="36">
        <v>28</v>
      </c>
      <c r="N109" s="33" t="s">
        <v>55</v>
      </c>
      <c r="O109" s="37" t="s">
        <v>33</v>
      </c>
      <c r="P109" s="38" t="s">
        <v>129</v>
      </c>
      <c r="Q109" s="33" t="s">
        <v>130</v>
      </c>
      <c r="R109" s="33">
        <v>20</v>
      </c>
      <c r="S109" s="33" t="s">
        <v>131</v>
      </c>
      <c r="T109" s="33">
        <v>8.1999999999999993</v>
      </c>
      <c r="U109" s="33">
        <v>5.9020000000000001</v>
      </c>
      <c r="V109" s="33" t="s">
        <v>175</v>
      </c>
      <c r="W109" s="33" t="s">
        <v>37</v>
      </c>
      <c r="X109" s="33">
        <v>23.6</v>
      </c>
      <c r="Y109" s="33">
        <v>0.4</v>
      </c>
      <c r="Z109" s="40">
        <f t="shared" si="130"/>
        <v>1.3183308357445855</v>
      </c>
      <c r="AA109" s="40">
        <f t="shared" si="144"/>
        <v>1.7061782852759273</v>
      </c>
      <c r="AB109" t="s">
        <v>577</v>
      </c>
      <c r="AC109" s="16">
        <f t="shared" si="131"/>
        <v>0.30760968147407108</v>
      </c>
      <c r="AD109" s="26">
        <f t="shared" si="132"/>
        <v>3.2508729738543409</v>
      </c>
      <c r="AE109" s="51">
        <v>16</v>
      </c>
      <c r="AF109" s="85" t="str">
        <f t="shared" si="133"/>
        <v>IC10</v>
      </c>
      <c r="AG109" s="9">
        <f t="shared" si="134"/>
        <v>1</v>
      </c>
      <c r="AH109" s="18">
        <f t="shared" si="135"/>
        <v>1.7061782852759273</v>
      </c>
      <c r="AI109" s="88" t="str">
        <f t="shared" si="136"/>
        <v>Chronic</v>
      </c>
      <c r="AJ109" s="9">
        <f t="shared" si="137"/>
        <v>1</v>
      </c>
      <c r="AK109" s="18">
        <f t="shared" si="138"/>
        <v>1.7061782852759273</v>
      </c>
      <c r="AL109" s="16"/>
      <c r="AM109" s="110" t="str">
        <f t="shared" si="139"/>
        <v>IC10</v>
      </c>
      <c r="AN109" s="111" t="s">
        <v>356</v>
      </c>
      <c r="AO109" s="112" t="str">
        <f t="shared" si="140"/>
        <v>Chronic</v>
      </c>
      <c r="AP109" s="111" t="str">
        <f t="shared" si="145"/>
        <v>y</v>
      </c>
      <c r="AQ109" s="134" t="str">
        <f t="shared" si="141"/>
        <v>Shell length</v>
      </c>
      <c r="AR109" s="111" t="s">
        <v>473</v>
      </c>
      <c r="AS109" s="114">
        <f t="shared" si="142"/>
        <v>28</v>
      </c>
      <c r="AT109" s="111" t="s">
        <v>474</v>
      </c>
      <c r="AU109" s="111"/>
      <c r="AV109" s="152">
        <f>AK109</f>
        <v>1.7061782852759273</v>
      </c>
      <c r="AW109" s="140">
        <f>GEOMEAN(AV109)</f>
        <v>1.7061782852759273</v>
      </c>
      <c r="AX109" s="141">
        <f>MIN(AW109)</f>
        <v>1.7061782852759273</v>
      </c>
      <c r="AY109" s="142">
        <f>MIN(AX109:AX109)</f>
        <v>1.7061782852759273</v>
      </c>
    </row>
    <row r="110" spans="1:52" x14ac:dyDescent="0.2">
      <c r="A110" s="193" t="s">
        <v>605</v>
      </c>
    </row>
    <row r="111" spans="1:52" x14ac:dyDescent="0.2">
      <c r="A111" s="32" t="s">
        <v>48</v>
      </c>
      <c r="B111" s="33">
        <v>236</v>
      </c>
      <c r="C111" s="34" t="s">
        <v>24</v>
      </c>
      <c r="D111" s="35" t="s">
        <v>49</v>
      </c>
      <c r="E111" s="33" t="s">
        <v>50</v>
      </c>
      <c r="F111" s="33" t="s">
        <v>51</v>
      </c>
      <c r="G111" s="33" t="s">
        <v>52</v>
      </c>
      <c r="H111" s="33" t="s">
        <v>571</v>
      </c>
      <c r="I111" s="36" t="s">
        <v>37</v>
      </c>
      <c r="J111" s="36" t="s">
        <v>53</v>
      </c>
      <c r="K111" s="36" t="s">
        <v>53</v>
      </c>
      <c r="L111" s="36" t="s">
        <v>54</v>
      </c>
      <c r="M111" s="36">
        <v>30</v>
      </c>
      <c r="N111" s="33" t="s">
        <v>55</v>
      </c>
      <c r="O111" s="37" t="s">
        <v>33</v>
      </c>
      <c r="P111" s="38" t="s">
        <v>56</v>
      </c>
      <c r="Q111" s="33" t="s">
        <v>57</v>
      </c>
      <c r="R111" s="40">
        <v>15.1</v>
      </c>
      <c r="S111" s="33" t="s">
        <v>58</v>
      </c>
      <c r="T111" s="33">
        <v>8.11</v>
      </c>
      <c r="U111" s="33">
        <v>3.42</v>
      </c>
      <c r="V111" s="33" t="s">
        <v>37</v>
      </c>
      <c r="W111" s="33">
        <v>20</v>
      </c>
      <c r="X111" s="40">
        <v>20</v>
      </c>
      <c r="Y111" s="40">
        <f t="shared" ref="Y111:Y115" si="150">X111/((U111/100)*1000)</f>
        <v>0.58479532163742687</v>
      </c>
      <c r="Z111" s="40">
        <f t="shared" ref="Z111:Z124" si="151">Y111/((0.0278/(1+AC111))+(1.1994/(1+AD111)))</f>
        <v>1.6734482467670493</v>
      </c>
      <c r="AA111" s="40">
        <f>POWER(10,LOG(Z111)-(-0.028*(R111-AE111)))</f>
        <v>1.4805132069148097</v>
      </c>
      <c r="AC111" s="16">
        <f t="shared" ref="AC111:AC124" si="152">POWER(10,7.688-T111)</f>
        <v>0.37844258471709358</v>
      </c>
      <c r="AD111" s="26">
        <f t="shared" ref="AD111:AD124" si="153">POWER(10,T111-7.688)</f>
        <v>2.6424087573219448</v>
      </c>
      <c r="AE111" s="51">
        <v>17</v>
      </c>
      <c r="AF111" s="85" t="str">
        <f t="shared" ref="AF111:AF124" si="154">L111</f>
        <v>NOEC</v>
      </c>
      <c r="AG111" s="9">
        <f t="shared" ref="AG111:AG124" si="155">VLOOKUP(AF111,$BD$6:$BE$17,2,FALSE)</f>
        <v>1</v>
      </c>
      <c r="AH111" s="18">
        <f t="shared" ref="AH111:AH124" si="156">AA111/AG111</f>
        <v>1.4805132069148097</v>
      </c>
      <c r="AI111" s="88" t="str">
        <f t="shared" ref="AI111:AI124" si="157">O111</f>
        <v>Chronic</v>
      </c>
      <c r="AJ111" s="9">
        <f t="shared" ref="AJ111:AJ124" si="158">VLOOKUP(AI111,$BD$19:$BF$20,2,FALSE)</f>
        <v>1</v>
      </c>
      <c r="AK111" s="18">
        <f t="shared" ref="AK111:AK124" si="159">AH111/AJ111</f>
        <v>1.4805132069148097</v>
      </c>
      <c r="AL111" s="16"/>
      <c r="AM111" s="127" t="str">
        <f t="shared" ref="AM111:AM124" si="160">L111</f>
        <v>NOEC</v>
      </c>
      <c r="AN111" s="128" t="s">
        <v>356</v>
      </c>
      <c r="AO111" s="129" t="str">
        <f t="shared" ref="AO111:AO124" si="161">O111</f>
        <v>Chronic</v>
      </c>
      <c r="AP111" s="128" t="str">
        <f>IF(AO111="chronic","y","n")</f>
        <v>y</v>
      </c>
      <c r="AQ111" s="130" t="str">
        <f t="shared" ref="AQ111:AQ124" si="162">K111</f>
        <v>Mortality</v>
      </c>
      <c r="AR111" s="128" t="s">
        <v>459</v>
      </c>
      <c r="AS111" s="131">
        <f t="shared" ref="AS111:AS124" si="163">M111</f>
        <v>30</v>
      </c>
      <c r="AT111" s="128" t="s">
        <v>460</v>
      </c>
      <c r="AU111" s="128"/>
      <c r="AV111" s="189">
        <f t="shared" ref="AV111:AV117" si="164">AK111</f>
        <v>1.4805132069148097</v>
      </c>
      <c r="AW111" s="144">
        <f>GEOMEAN(AV111)</f>
        <v>1.4805132069148097</v>
      </c>
      <c r="AX111" s="148">
        <f>MIN(AW111)</f>
        <v>1.4805132069148097</v>
      </c>
      <c r="AY111" s="149">
        <f>MIN(AX111)</f>
        <v>1.4805132069148097</v>
      </c>
      <c r="AZ111" s="206" t="str">
        <f>A110</f>
        <v>17°C</v>
      </c>
    </row>
    <row r="112" spans="1:52" x14ac:dyDescent="0.2">
      <c r="A112" s="19" t="s">
        <v>59</v>
      </c>
      <c r="B112" s="9">
        <v>245</v>
      </c>
      <c r="C112" s="10" t="s">
        <v>24</v>
      </c>
      <c r="D112" s="11" t="s">
        <v>60</v>
      </c>
      <c r="E112" s="20" t="s">
        <v>61</v>
      </c>
      <c r="F112" s="9" t="s">
        <v>62</v>
      </c>
      <c r="G112" s="9" t="s">
        <v>52</v>
      </c>
      <c r="H112" s="9" t="s">
        <v>571</v>
      </c>
      <c r="I112" s="12" t="s">
        <v>63</v>
      </c>
      <c r="J112" s="12" t="s">
        <v>64</v>
      </c>
      <c r="K112" s="12" t="s">
        <v>64</v>
      </c>
      <c r="L112" s="12" t="s">
        <v>54</v>
      </c>
      <c r="M112" s="12">
        <v>7</v>
      </c>
      <c r="N112" s="9" t="s">
        <v>55</v>
      </c>
      <c r="O112" s="21" t="s">
        <v>33</v>
      </c>
      <c r="P112" s="14" t="s">
        <v>65</v>
      </c>
      <c r="Q112" s="9">
        <v>25</v>
      </c>
      <c r="R112" s="9">
        <v>25</v>
      </c>
      <c r="S112" s="22">
        <v>8</v>
      </c>
      <c r="T112" s="22">
        <v>8</v>
      </c>
      <c r="U112" s="20">
        <v>5.3659999999999997</v>
      </c>
      <c r="V112" s="20" t="s">
        <v>37</v>
      </c>
      <c r="W112" s="20">
        <v>680</v>
      </c>
      <c r="X112" s="9">
        <v>680</v>
      </c>
      <c r="Y112" s="27">
        <f t="shared" si="150"/>
        <v>12.672381662318301</v>
      </c>
      <c r="Z112" s="15">
        <f t="shared" si="151"/>
        <v>30.774279778328605</v>
      </c>
      <c r="AA112" s="15">
        <f t="shared" ref="AA112:AA124" si="165">POWER(10,LOG(Z112)-(-0.028*(R112-AE112)))</f>
        <v>51.545160679555948</v>
      </c>
      <c r="AC112" s="16">
        <f t="shared" si="152"/>
        <v>0.48752849010338595</v>
      </c>
      <c r="AD112" s="26">
        <f t="shared" si="153"/>
        <v>2.051162178825567</v>
      </c>
      <c r="AE112" s="51">
        <v>17</v>
      </c>
      <c r="AF112" s="85" t="str">
        <f t="shared" si="154"/>
        <v>NOEC</v>
      </c>
      <c r="AG112" s="9">
        <f t="shared" si="155"/>
        <v>1</v>
      </c>
      <c r="AH112" s="18">
        <f t="shared" si="156"/>
        <v>51.545160679555948</v>
      </c>
      <c r="AI112" s="88" t="str">
        <f t="shared" si="157"/>
        <v>Chronic</v>
      </c>
      <c r="AJ112" s="9">
        <f t="shared" si="158"/>
        <v>1</v>
      </c>
      <c r="AK112" s="18">
        <f t="shared" si="159"/>
        <v>51.545160679555948</v>
      </c>
      <c r="AL112" s="16"/>
      <c r="AM112" s="101" t="str">
        <f t="shared" si="160"/>
        <v>NOEC</v>
      </c>
      <c r="AN112" s="102" t="s">
        <v>356</v>
      </c>
      <c r="AO112" s="103" t="str">
        <f t="shared" si="161"/>
        <v>Chronic</v>
      </c>
      <c r="AP112" s="102" t="str">
        <f t="shared" ref="AP112:AP124" si="166">IF(AO112="chronic","y","n")</f>
        <v>y</v>
      </c>
      <c r="AQ112" s="104" t="str">
        <f t="shared" si="162"/>
        <v>Reproduction</v>
      </c>
      <c r="AR112" s="102" t="s">
        <v>459</v>
      </c>
      <c r="AS112" s="105">
        <f t="shared" si="163"/>
        <v>7</v>
      </c>
      <c r="AT112" s="102" t="s">
        <v>460</v>
      </c>
      <c r="AU112" s="102"/>
      <c r="AV112" s="106">
        <f t="shared" si="164"/>
        <v>51.545160679555948</v>
      </c>
      <c r="AW112" s="107">
        <f>GEOMEAN(AV112:AV112)</f>
        <v>51.545160679555948</v>
      </c>
      <c r="AX112" s="108">
        <f>MIN(AW112:AW112)</f>
        <v>51.545160679555948</v>
      </c>
      <c r="AY112" s="109">
        <f>MIN(AX112)</f>
        <v>51.545160679555948</v>
      </c>
    </row>
    <row r="113" spans="1:52" x14ac:dyDescent="0.2">
      <c r="A113" s="32" t="s">
        <v>82</v>
      </c>
      <c r="B113" s="33">
        <v>240</v>
      </c>
      <c r="C113" s="34" t="s">
        <v>24</v>
      </c>
      <c r="D113" s="35" t="s">
        <v>77</v>
      </c>
      <c r="E113" s="33" t="s">
        <v>61</v>
      </c>
      <c r="F113" s="33" t="s">
        <v>62</v>
      </c>
      <c r="G113" s="33" t="s">
        <v>52</v>
      </c>
      <c r="H113" s="33" t="s">
        <v>571</v>
      </c>
      <c r="I113" s="36" t="s">
        <v>78</v>
      </c>
      <c r="J113" s="36" t="s">
        <v>83</v>
      </c>
      <c r="K113" s="36" t="s">
        <v>84</v>
      </c>
      <c r="L113" s="36" t="s">
        <v>54</v>
      </c>
      <c r="M113" s="36">
        <v>21</v>
      </c>
      <c r="N113" s="33" t="s">
        <v>55</v>
      </c>
      <c r="O113" s="37" t="s">
        <v>33</v>
      </c>
      <c r="P113" s="38" t="s">
        <v>79</v>
      </c>
      <c r="Q113" s="33" t="s">
        <v>80</v>
      </c>
      <c r="R113" s="40">
        <v>19.8</v>
      </c>
      <c r="S113" s="33" t="s">
        <v>81</v>
      </c>
      <c r="T113" s="33">
        <v>8.4499999999999993</v>
      </c>
      <c r="U113" s="33">
        <v>9.9039999999999999</v>
      </c>
      <c r="V113" s="44" t="s">
        <v>37</v>
      </c>
      <c r="W113" s="44" t="s">
        <v>37</v>
      </c>
      <c r="X113" s="33">
        <v>420</v>
      </c>
      <c r="Y113" s="40">
        <f t="shared" si="150"/>
        <v>4.2407108239095308</v>
      </c>
      <c r="Z113" s="40">
        <f t="shared" si="151"/>
        <v>21.142464693435951</v>
      </c>
      <c r="AA113" s="40">
        <f t="shared" si="165"/>
        <v>25.325359209702743</v>
      </c>
      <c r="AC113" s="16">
        <f t="shared" si="152"/>
        <v>0.17298163592151028</v>
      </c>
      <c r="AD113" s="26">
        <f t="shared" si="153"/>
        <v>5.7809604740571769</v>
      </c>
      <c r="AE113" s="51">
        <v>17</v>
      </c>
      <c r="AF113" s="85" t="str">
        <f t="shared" si="154"/>
        <v>NOEC</v>
      </c>
      <c r="AG113" s="9">
        <f t="shared" si="155"/>
        <v>1</v>
      </c>
      <c r="AH113" s="18">
        <f t="shared" si="156"/>
        <v>25.325359209702743</v>
      </c>
      <c r="AI113" s="88" t="str">
        <f t="shared" si="157"/>
        <v>Chronic</v>
      </c>
      <c r="AJ113" s="9">
        <f t="shared" si="158"/>
        <v>1</v>
      </c>
      <c r="AK113" s="18">
        <f t="shared" si="159"/>
        <v>25.325359209702743</v>
      </c>
      <c r="AL113" s="16"/>
      <c r="AM113" s="101" t="str">
        <f t="shared" si="160"/>
        <v>NOEC</v>
      </c>
      <c r="AN113" s="102" t="s">
        <v>356</v>
      </c>
      <c r="AO113" s="103" t="str">
        <f t="shared" si="161"/>
        <v>Chronic</v>
      </c>
      <c r="AP113" s="102" t="str">
        <f t="shared" si="166"/>
        <v>y</v>
      </c>
      <c r="AQ113" s="104" t="str">
        <f t="shared" si="162"/>
        <v>Mean total young/daphnid</v>
      </c>
      <c r="AR113" s="102" t="s">
        <v>459</v>
      </c>
      <c r="AS113" s="105">
        <f t="shared" si="163"/>
        <v>21</v>
      </c>
      <c r="AT113" s="102" t="s">
        <v>460</v>
      </c>
      <c r="AU113" s="102"/>
      <c r="AV113" s="147">
        <f t="shared" si="164"/>
        <v>25.325359209702743</v>
      </c>
      <c r="AW113" s="107">
        <f>GEOMEAN(AV113:AV113)</f>
        <v>25.325359209702743</v>
      </c>
      <c r="AX113" s="108">
        <f>MIN(AW113)</f>
        <v>25.325359209702743</v>
      </c>
      <c r="AY113" s="109"/>
    </row>
    <row r="114" spans="1:52" x14ac:dyDescent="0.2">
      <c r="A114" s="32" t="s">
        <v>87</v>
      </c>
      <c r="B114" s="33">
        <v>240</v>
      </c>
      <c r="C114" s="34" t="s">
        <v>24</v>
      </c>
      <c r="D114" s="35" t="s">
        <v>77</v>
      </c>
      <c r="E114" s="33" t="s">
        <v>61</v>
      </c>
      <c r="F114" s="33" t="s">
        <v>62</v>
      </c>
      <c r="G114" s="33" t="s">
        <v>52</v>
      </c>
      <c r="H114" s="33" t="s">
        <v>571</v>
      </c>
      <c r="I114" s="36" t="s">
        <v>78</v>
      </c>
      <c r="J114" s="36" t="s">
        <v>83</v>
      </c>
      <c r="K114" s="36" t="s">
        <v>88</v>
      </c>
      <c r="L114" s="36" t="s">
        <v>54</v>
      </c>
      <c r="M114" s="36">
        <v>21</v>
      </c>
      <c r="N114" s="33" t="s">
        <v>55</v>
      </c>
      <c r="O114" s="37" t="s">
        <v>33</v>
      </c>
      <c r="P114" s="38" t="s">
        <v>79</v>
      </c>
      <c r="Q114" s="33" t="s">
        <v>80</v>
      </c>
      <c r="R114" s="40">
        <v>19.8</v>
      </c>
      <c r="S114" s="33" t="s">
        <v>81</v>
      </c>
      <c r="T114" s="33">
        <v>8.4499999999999993</v>
      </c>
      <c r="U114" s="33">
        <v>9.9039999999999999</v>
      </c>
      <c r="V114" s="44" t="s">
        <v>37</v>
      </c>
      <c r="W114" s="44" t="s">
        <v>37</v>
      </c>
      <c r="X114" s="33">
        <v>420</v>
      </c>
      <c r="Y114" s="40">
        <f t="shared" si="150"/>
        <v>4.2407108239095308</v>
      </c>
      <c r="Z114" s="40">
        <f t="shared" si="151"/>
        <v>21.142464693435951</v>
      </c>
      <c r="AA114" s="40">
        <f t="shared" si="165"/>
        <v>25.325359209702743</v>
      </c>
      <c r="AC114" s="16">
        <f t="shared" si="152"/>
        <v>0.17298163592151028</v>
      </c>
      <c r="AD114" s="26">
        <f t="shared" si="153"/>
        <v>5.7809604740571769</v>
      </c>
      <c r="AE114" s="51">
        <v>17</v>
      </c>
      <c r="AF114" s="85" t="str">
        <f t="shared" si="154"/>
        <v>NOEC</v>
      </c>
      <c r="AG114" s="9">
        <f t="shared" si="155"/>
        <v>1</v>
      </c>
      <c r="AH114" s="18">
        <f t="shared" si="156"/>
        <v>25.325359209702743</v>
      </c>
      <c r="AI114" s="88" t="str">
        <f t="shared" si="157"/>
        <v>Chronic</v>
      </c>
      <c r="AJ114" s="9">
        <f t="shared" si="158"/>
        <v>1</v>
      </c>
      <c r="AK114" s="18">
        <f t="shared" si="159"/>
        <v>25.325359209702743</v>
      </c>
      <c r="AL114" s="16"/>
      <c r="AM114" s="132" t="str">
        <f t="shared" si="160"/>
        <v>NOEC</v>
      </c>
      <c r="AN114" s="67" t="s">
        <v>356</v>
      </c>
      <c r="AO114" s="88" t="str">
        <f t="shared" si="161"/>
        <v>Chronic</v>
      </c>
      <c r="AP114" s="67" t="str">
        <f t="shared" si="166"/>
        <v>y</v>
      </c>
      <c r="AQ114" s="69" t="str">
        <f t="shared" si="162"/>
        <v>Mean brood size/daphnid</v>
      </c>
      <c r="AR114" s="67" t="s">
        <v>475</v>
      </c>
      <c r="AS114" s="70">
        <f t="shared" si="163"/>
        <v>21</v>
      </c>
      <c r="AT114" s="67" t="s">
        <v>476</v>
      </c>
      <c r="AU114" s="67"/>
      <c r="AV114" s="82">
        <f t="shared" si="164"/>
        <v>25.325359209702743</v>
      </c>
      <c r="AW114" s="81">
        <f>GEOMEAN(AV114:AV114)</f>
        <v>25.325359209702743</v>
      </c>
      <c r="AX114" s="78">
        <f>MIN(AW114)</f>
        <v>25.325359209702743</v>
      </c>
      <c r="AY114" s="133"/>
    </row>
    <row r="115" spans="1:52" x14ac:dyDescent="0.2">
      <c r="A115" s="32" t="s">
        <v>89</v>
      </c>
      <c r="B115" s="33">
        <v>240</v>
      </c>
      <c r="C115" s="34" t="s">
        <v>24</v>
      </c>
      <c r="D115" s="35" t="s">
        <v>77</v>
      </c>
      <c r="E115" s="33" t="s">
        <v>61</v>
      </c>
      <c r="F115" s="33" t="s">
        <v>62</v>
      </c>
      <c r="G115" s="33" t="s">
        <v>52</v>
      </c>
      <c r="H115" s="33" t="s">
        <v>571</v>
      </c>
      <c r="I115" s="36" t="s">
        <v>78</v>
      </c>
      <c r="J115" s="36" t="s">
        <v>53</v>
      </c>
      <c r="K115" s="36" t="s">
        <v>53</v>
      </c>
      <c r="L115" s="36" t="s">
        <v>54</v>
      </c>
      <c r="M115" s="36">
        <v>21</v>
      </c>
      <c r="N115" s="33" t="s">
        <v>55</v>
      </c>
      <c r="O115" s="37" t="s">
        <v>33</v>
      </c>
      <c r="P115" s="38" t="s">
        <v>79</v>
      </c>
      <c r="Q115" s="33" t="s">
        <v>80</v>
      </c>
      <c r="R115" s="40">
        <v>19.8</v>
      </c>
      <c r="S115" s="33" t="s">
        <v>81</v>
      </c>
      <c r="T115" s="33">
        <v>8.4499999999999993</v>
      </c>
      <c r="U115" s="33">
        <v>9.9039999999999999</v>
      </c>
      <c r="V115" s="44" t="s">
        <v>37</v>
      </c>
      <c r="W115" s="44" t="s">
        <v>37</v>
      </c>
      <c r="X115" s="33">
        <v>420</v>
      </c>
      <c r="Y115" s="40">
        <f t="shared" si="150"/>
        <v>4.2407108239095308</v>
      </c>
      <c r="Z115" s="40">
        <f t="shared" si="151"/>
        <v>21.142464693435951</v>
      </c>
      <c r="AA115" s="40">
        <f t="shared" si="165"/>
        <v>25.325359209702743</v>
      </c>
      <c r="AC115" s="16">
        <f t="shared" si="152"/>
        <v>0.17298163592151028</v>
      </c>
      <c r="AD115" s="26">
        <f t="shared" si="153"/>
        <v>5.7809604740571769</v>
      </c>
      <c r="AE115" s="51">
        <v>17</v>
      </c>
      <c r="AF115" s="85" t="str">
        <f t="shared" si="154"/>
        <v>NOEC</v>
      </c>
      <c r="AG115" s="9">
        <f t="shared" si="155"/>
        <v>1</v>
      </c>
      <c r="AH115" s="18">
        <f t="shared" si="156"/>
        <v>25.325359209702743</v>
      </c>
      <c r="AI115" s="88" t="str">
        <f t="shared" si="157"/>
        <v>Chronic</v>
      </c>
      <c r="AJ115" s="9">
        <f t="shared" si="158"/>
        <v>1</v>
      </c>
      <c r="AK115" s="18">
        <f t="shared" si="159"/>
        <v>25.325359209702743</v>
      </c>
      <c r="AL115" s="16"/>
      <c r="AM115" s="110" t="str">
        <f t="shared" si="160"/>
        <v>NOEC</v>
      </c>
      <c r="AN115" s="111" t="s">
        <v>356</v>
      </c>
      <c r="AO115" s="112" t="str">
        <f t="shared" si="161"/>
        <v>Chronic</v>
      </c>
      <c r="AP115" s="111" t="str">
        <f t="shared" si="166"/>
        <v>y</v>
      </c>
      <c r="AQ115" s="134" t="str">
        <f t="shared" si="162"/>
        <v>Mortality</v>
      </c>
      <c r="AR115" s="111" t="s">
        <v>55</v>
      </c>
      <c r="AS115" s="114">
        <f t="shared" si="163"/>
        <v>21</v>
      </c>
      <c r="AT115" s="111" t="s">
        <v>477</v>
      </c>
      <c r="AU115" s="111"/>
      <c r="AV115" s="138">
        <f t="shared" si="164"/>
        <v>25.325359209702743</v>
      </c>
      <c r="AW115" s="135">
        <f>GEOMEAN(AV115:AV115)</f>
        <v>25.325359209702743</v>
      </c>
      <c r="AX115" s="136">
        <f>MIN(AW115)</f>
        <v>25.325359209702743</v>
      </c>
      <c r="AY115" s="137">
        <f>MIN(AX113:AX115)</f>
        <v>25.325359209702743</v>
      </c>
    </row>
    <row r="116" spans="1:52" x14ac:dyDescent="0.2">
      <c r="A116" s="19" t="s">
        <v>90</v>
      </c>
      <c r="B116" s="23">
        <v>231</v>
      </c>
      <c r="C116" s="10" t="s">
        <v>24</v>
      </c>
      <c r="D116" s="11" t="s">
        <v>91</v>
      </c>
      <c r="E116" s="9" t="s">
        <v>61</v>
      </c>
      <c r="F116" s="9" t="s">
        <v>92</v>
      </c>
      <c r="G116" s="9" t="s">
        <v>93</v>
      </c>
      <c r="H116" s="9" t="s">
        <v>571</v>
      </c>
      <c r="I116" s="9" t="s">
        <v>94</v>
      </c>
      <c r="J116" s="12" t="s">
        <v>53</v>
      </c>
      <c r="K116" s="12" t="s">
        <v>95</v>
      </c>
      <c r="L116" s="12" t="s">
        <v>54</v>
      </c>
      <c r="M116" s="9">
        <v>29</v>
      </c>
      <c r="N116" s="9" t="s">
        <v>55</v>
      </c>
      <c r="O116" s="9" t="s">
        <v>33</v>
      </c>
      <c r="P116" s="14" t="s">
        <v>96</v>
      </c>
      <c r="Q116" s="23">
        <v>15.8</v>
      </c>
      <c r="R116" s="94">
        <v>15.8</v>
      </c>
      <c r="S116" s="9">
        <v>8.3699999999999992</v>
      </c>
      <c r="T116" s="9">
        <v>8.3699999999999992</v>
      </c>
      <c r="U116" s="9">
        <v>6.3609999999999998</v>
      </c>
      <c r="V116" s="9">
        <v>0.94899999999999995</v>
      </c>
      <c r="W116" s="9">
        <v>66</v>
      </c>
      <c r="X116" s="9">
        <v>66</v>
      </c>
      <c r="Y116" s="9">
        <v>0.94899999999999995</v>
      </c>
      <c r="Z116" s="15">
        <f t="shared" si="151"/>
        <v>4.1349303568432507</v>
      </c>
      <c r="AA116" s="15">
        <f t="shared" si="165"/>
        <v>3.8270858038560323</v>
      </c>
      <c r="AC116" s="16">
        <f t="shared" si="152"/>
        <v>0.20796966871036979</v>
      </c>
      <c r="AD116" s="26">
        <f t="shared" si="153"/>
        <v>4.8083934844972802</v>
      </c>
      <c r="AE116" s="51">
        <v>17</v>
      </c>
      <c r="AF116" s="85" t="str">
        <f t="shared" si="154"/>
        <v>NOEC</v>
      </c>
      <c r="AG116" s="9">
        <f t="shared" si="155"/>
        <v>1</v>
      </c>
      <c r="AH116" s="18">
        <f t="shared" si="156"/>
        <v>3.8270858038560323</v>
      </c>
      <c r="AI116" s="88" t="str">
        <f t="shared" si="157"/>
        <v>Chronic</v>
      </c>
      <c r="AJ116" s="9">
        <f t="shared" si="158"/>
        <v>1</v>
      </c>
      <c r="AK116" s="18">
        <f t="shared" si="159"/>
        <v>3.8270858038560323</v>
      </c>
      <c r="AL116" s="16"/>
      <c r="AM116" s="127" t="str">
        <f t="shared" si="160"/>
        <v>NOEC</v>
      </c>
      <c r="AN116" s="128" t="s">
        <v>356</v>
      </c>
      <c r="AO116" s="129" t="str">
        <f t="shared" si="161"/>
        <v>Chronic</v>
      </c>
      <c r="AP116" s="128" t="str">
        <f t="shared" si="166"/>
        <v>y</v>
      </c>
      <c r="AQ116" s="130" t="str">
        <f t="shared" si="162"/>
        <v>Mortality (of juvenile Deleatidium sp.)</v>
      </c>
      <c r="AR116" s="128" t="s">
        <v>459</v>
      </c>
      <c r="AS116" s="131">
        <f t="shared" si="163"/>
        <v>29</v>
      </c>
      <c r="AT116" s="128" t="s">
        <v>460</v>
      </c>
      <c r="AU116" s="128"/>
      <c r="AV116" s="143">
        <f t="shared" si="164"/>
        <v>3.8270858038560323</v>
      </c>
      <c r="AW116" s="144">
        <f t="shared" ref="AW116:AW117" si="167">GEOMEAN(AV116:AV116)</f>
        <v>3.8270858038560323</v>
      </c>
      <c r="AX116" s="141">
        <f>MIN(AW116)</f>
        <v>3.8270858038560323</v>
      </c>
      <c r="AY116" s="142">
        <f>MIN(AX116:AX116)</f>
        <v>3.8270858038560323</v>
      </c>
    </row>
    <row r="117" spans="1:52" x14ac:dyDescent="0.2">
      <c r="A117" s="32" t="s">
        <v>97</v>
      </c>
      <c r="B117" s="44">
        <v>221</v>
      </c>
      <c r="C117" s="34" t="s">
        <v>24</v>
      </c>
      <c r="D117" s="35" t="s">
        <v>98</v>
      </c>
      <c r="E117" s="33" t="s">
        <v>61</v>
      </c>
      <c r="F117" s="33" t="s">
        <v>99</v>
      </c>
      <c r="G117" s="33" t="s">
        <v>93</v>
      </c>
      <c r="H117" s="33" t="s">
        <v>571</v>
      </c>
      <c r="I117" s="36" t="s">
        <v>100</v>
      </c>
      <c r="J117" s="36" t="s">
        <v>64</v>
      </c>
      <c r="K117" s="44" t="s">
        <v>101</v>
      </c>
      <c r="L117" s="36" t="s">
        <v>54</v>
      </c>
      <c r="M117" s="36">
        <v>10</v>
      </c>
      <c r="N117" s="33" t="s">
        <v>102</v>
      </c>
      <c r="O117" s="33" t="s">
        <v>33</v>
      </c>
      <c r="P117" s="45" t="s">
        <v>103</v>
      </c>
      <c r="Q117" s="44">
        <v>25</v>
      </c>
      <c r="R117" s="44">
        <v>25</v>
      </c>
      <c r="S117" s="33" t="s">
        <v>104</v>
      </c>
      <c r="T117" s="33">
        <v>8.0399999999999991</v>
      </c>
      <c r="U117" s="46">
        <v>5.8536524151080886</v>
      </c>
      <c r="V117" s="33">
        <v>2.5</v>
      </c>
      <c r="W117" s="33" t="s">
        <v>37</v>
      </c>
      <c r="X117" s="39">
        <f t="shared" ref="X117" si="168">(V117)*(U117/100)*1000</f>
        <v>146.3413103777022</v>
      </c>
      <c r="Y117" s="33">
        <v>2.5</v>
      </c>
      <c r="Z117" s="40">
        <f t="shared" si="151"/>
        <v>6.4367096033276967</v>
      </c>
      <c r="AA117" s="40">
        <f t="shared" si="165"/>
        <v>10.781120895144683</v>
      </c>
      <c r="AC117" s="16">
        <f t="shared" si="152"/>
        <v>0.4446312674691093</v>
      </c>
      <c r="AD117" s="26">
        <f t="shared" si="153"/>
        <v>2.2490546058357781</v>
      </c>
      <c r="AE117" s="51">
        <v>17</v>
      </c>
      <c r="AF117" s="85" t="str">
        <f t="shared" si="154"/>
        <v>NOEC</v>
      </c>
      <c r="AG117" s="9">
        <f t="shared" si="155"/>
        <v>1</v>
      </c>
      <c r="AH117" s="18">
        <f t="shared" si="156"/>
        <v>10.781120895144683</v>
      </c>
      <c r="AI117" s="88" t="str">
        <f t="shared" si="157"/>
        <v>Chronic</v>
      </c>
      <c r="AJ117" s="9">
        <f t="shared" si="158"/>
        <v>1</v>
      </c>
      <c r="AK117" s="18">
        <f t="shared" si="159"/>
        <v>10.781120895144683</v>
      </c>
      <c r="AL117" s="16"/>
      <c r="AM117" s="101" t="str">
        <f t="shared" si="160"/>
        <v>NOEC</v>
      </c>
      <c r="AN117" s="102" t="s">
        <v>356</v>
      </c>
      <c r="AO117" s="103" t="str">
        <f t="shared" si="161"/>
        <v>Chronic</v>
      </c>
      <c r="AP117" s="102" t="str">
        <f t="shared" si="166"/>
        <v>y</v>
      </c>
      <c r="AQ117" s="104" t="str">
        <f t="shared" si="162"/>
        <v>Reproduction (average young per replicate)</v>
      </c>
      <c r="AR117" s="102" t="s">
        <v>459</v>
      </c>
      <c r="AS117" s="105">
        <f t="shared" si="163"/>
        <v>10</v>
      </c>
      <c r="AT117" s="102" t="s">
        <v>460</v>
      </c>
      <c r="AU117" s="102"/>
      <c r="AV117" s="106">
        <f t="shared" si="164"/>
        <v>10.781120895144683</v>
      </c>
      <c r="AW117" s="107">
        <f t="shared" si="167"/>
        <v>10.781120895144683</v>
      </c>
      <c r="AX117" s="78">
        <f>MIN(AW117:AW117)</f>
        <v>10.781120895144683</v>
      </c>
      <c r="AY117" s="109">
        <f>MIN(AX117:AX117)</f>
        <v>10.781120895144683</v>
      </c>
    </row>
    <row r="118" spans="1:52" x14ac:dyDescent="0.2">
      <c r="A118" s="19" t="s">
        <v>119</v>
      </c>
      <c r="B118" s="9">
        <v>235</v>
      </c>
      <c r="C118" s="10" t="s">
        <v>24</v>
      </c>
      <c r="D118" s="11" t="s">
        <v>120</v>
      </c>
      <c r="E118" s="9" t="s">
        <v>121</v>
      </c>
      <c r="F118" s="9" t="s">
        <v>122</v>
      </c>
      <c r="G118" s="9" t="s">
        <v>52</v>
      </c>
      <c r="H118" s="9" t="s">
        <v>571</v>
      </c>
      <c r="I118" s="12" t="s">
        <v>37</v>
      </c>
      <c r="J118" s="12" t="s">
        <v>123</v>
      </c>
      <c r="K118" s="12" t="s">
        <v>123</v>
      </c>
      <c r="L118" s="12" t="s">
        <v>54</v>
      </c>
      <c r="M118" s="12">
        <v>40</v>
      </c>
      <c r="N118" s="9" t="s">
        <v>55</v>
      </c>
      <c r="O118" s="13" t="s">
        <v>33</v>
      </c>
      <c r="P118" s="14" t="s">
        <v>56</v>
      </c>
      <c r="Q118" s="9" t="s">
        <v>438</v>
      </c>
      <c r="R118" s="9">
        <v>15.3</v>
      </c>
      <c r="S118" s="9" t="s">
        <v>124</v>
      </c>
      <c r="T118" s="9">
        <v>8.1</v>
      </c>
      <c r="U118" s="9">
        <v>3.3940000000000001</v>
      </c>
      <c r="V118" s="18">
        <v>2.1</v>
      </c>
      <c r="W118" s="9">
        <v>70</v>
      </c>
      <c r="X118" s="9">
        <v>70</v>
      </c>
      <c r="Y118" s="18">
        <v>2.1</v>
      </c>
      <c r="Z118" s="15">
        <f t="shared" si="151"/>
        <v>5.9178920071141139</v>
      </c>
      <c r="AA118" s="15">
        <f t="shared" si="165"/>
        <v>5.3035544948834881</v>
      </c>
      <c r="AC118" s="16">
        <f t="shared" si="152"/>
        <v>0.38725764492161724</v>
      </c>
      <c r="AD118" s="26">
        <f t="shared" si="153"/>
        <v>2.5822601906345959</v>
      </c>
      <c r="AE118" s="51">
        <v>17</v>
      </c>
      <c r="AF118" s="85" t="str">
        <f t="shared" si="154"/>
        <v>NOEC</v>
      </c>
      <c r="AG118" s="9">
        <f t="shared" si="155"/>
        <v>1</v>
      </c>
      <c r="AH118" s="18">
        <f t="shared" si="156"/>
        <v>5.3035544948834881</v>
      </c>
      <c r="AI118" s="88" t="str">
        <f t="shared" si="157"/>
        <v>Chronic</v>
      </c>
      <c r="AJ118" s="9">
        <f t="shared" si="158"/>
        <v>1</v>
      </c>
      <c r="AK118" s="18">
        <f t="shared" si="159"/>
        <v>5.3035544948834881</v>
      </c>
      <c r="AL118" s="16"/>
      <c r="AM118" s="127" t="str">
        <f t="shared" si="160"/>
        <v>NOEC</v>
      </c>
      <c r="AN118" s="128" t="s">
        <v>356</v>
      </c>
      <c r="AO118" s="129" t="str">
        <f t="shared" si="161"/>
        <v>Chronic</v>
      </c>
      <c r="AP118" s="128" t="str">
        <f t="shared" si="166"/>
        <v>y</v>
      </c>
      <c r="AQ118" s="130" t="str">
        <f t="shared" si="162"/>
        <v>Immobility</v>
      </c>
      <c r="AR118" s="128" t="s">
        <v>459</v>
      </c>
      <c r="AS118" s="131">
        <f t="shared" si="163"/>
        <v>40</v>
      </c>
      <c r="AT118" s="128" t="s">
        <v>460</v>
      </c>
      <c r="AU118" s="128"/>
      <c r="AV118" s="143">
        <f>AK118</f>
        <v>5.3035544948834881</v>
      </c>
      <c r="AW118" s="144">
        <f>GEOMEAN(AV118:AV118)</f>
        <v>5.3035544948834881</v>
      </c>
      <c r="AX118" s="148">
        <f>MIN(AW118)</f>
        <v>5.3035544948834881</v>
      </c>
      <c r="AY118" s="149">
        <f>MIN(AX118)</f>
        <v>5.3035544948834881</v>
      </c>
    </row>
    <row r="119" spans="1:52" x14ac:dyDescent="0.2">
      <c r="A119" s="32" t="s">
        <v>132</v>
      </c>
      <c r="B119" s="33">
        <v>254</v>
      </c>
      <c r="C119" s="34" t="s">
        <v>24</v>
      </c>
      <c r="D119" s="35" t="s">
        <v>126</v>
      </c>
      <c r="E119" s="33" t="s">
        <v>121</v>
      </c>
      <c r="F119" s="33" t="s">
        <v>127</v>
      </c>
      <c r="G119" s="33" t="s">
        <v>52</v>
      </c>
      <c r="H119" s="33" t="s">
        <v>571</v>
      </c>
      <c r="I119" s="36" t="s">
        <v>128</v>
      </c>
      <c r="J119" s="36" t="s">
        <v>53</v>
      </c>
      <c r="K119" s="36" t="s">
        <v>53</v>
      </c>
      <c r="L119" s="36" t="s">
        <v>133</v>
      </c>
      <c r="M119" s="36">
        <v>28</v>
      </c>
      <c r="N119" s="33" t="s">
        <v>55</v>
      </c>
      <c r="O119" s="37" t="s">
        <v>33</v>
      </c>
      <c r="P119" s="38" t="s">
        <v>129</v>
      </c>
      <c r="Q119" s="33" t="s">
        <v>130</v>
      </c>
      <c r="R119" s="33">
        <v>20</v>
      </c>
      <c r="S119" s="33" t="s">
        <v>131</v>
      </c>
      <c r="T119" s="33">
        <v>8.1999999999999993</v>
      </c>
      <c r="U119" s="33">
        <v>5.9020000000000001</v>
      </c>
      <c r="V119" s="33" t="s">
        <v>134</v>
      </c>
      <c r="W119" s="33" t="s">
        <v>37</v>
      </c>
      <c r="X119" s="33">
        <v>7.67</v>
      </c>
      <c r="Y119" s="33">
        <v>0.13</v>
      </c>
      <c r="Z119" s="40">
        <f t="shared" si="151"/>
        <v>0.4284575216169903</v>
      </c>
      <c r="AA119" s="40">
        <f t="shared" si="165"/>
        <v>0.51988557962791293</v>
      </c>
      <c r="AB119" t="s">
        <v>577</v>
      </c>
      <c r="AC119" s="16">
        <f t="shared" si="152"/>
        <v>0.30760968147407108</v>
      </c>
      <c r="AD119" s="26">
        <f t="shared" si="153"/>
        <v>3.2508729738543409</v>
      </c>
      <c r="AE119" s="51">
        <v>17</v>
      </c>
      <c r="AF119" s="85" t="str">
        <f t="shared" si="154"/>
        <v>IC10</v>
      </c>
      <c r="AG119" s="9">
        <f t="shared" si="155"/>
        <v>1</v>
      </c>
      <c r="AH119" s="18">
        <f t="shared" si="156"/>
        <v>0.51988557962791293</v>
      </c>
      <c r="AI119" s="88" t="str">
        <f t="shared" si="157"/>
        <v>Chronic</v>
      </c>
      <c r="AJ119" s="9">
        <f t="shared" si="158"/>
        <v>1</v>
      </c>
      <c r="AK119" s="18">
        <f t="shared" si="159"/>
        <v>0.51988557962791293</v>
      </c>
      <c r="AL119" s="16"/>
      <c r="AM119" s="132" t="str">
        <f t="shared" si="160"/>
        <v>IC10</v>
      </c>
      <c r="AN119" s="67" t="s">
        <v>356</v>
      </c>
      <c r="AO119" s="88" t="str">
        <f t="shared" si="161"/>
        <v>Chronic</v>
      </c>
      <c r="AP119" s="67" t="str">
        <f t="shared" si="166"/>
        <v>y</v>
      </c>
      <c r="AQ119" s="69" t="str">
        <f t="shared" si="162"/>
        <v>Mortality</v>
      </c>
      <c r="AR119" s="67" t="s">
        <v>459</v>
      </c>
      <c r="AS119" s="70">
        <f t="shared" si="163"/>
        <v>28</v>
      </c>
      <c r="AT119" s="67" t="s">
        <v>460</v>
      </c>
      <c r="AU119" s="67"/>
      <c r="AV119" s="151">
        <f>AK119</f>
        <v>0.51988557962791293</v>
      </c>
      <c r="AW119" s="95">
        <f>GEOMEAN(AV119:AV119)</f>
        <v>0.51988557962791293</v>
      </c>
      <c r="AX119" s="96">
        <f>MIN(AW119)</f>
        <v>0.51988557962791293</v>
      </c>
      <c r="AY119" s="153">
        <f>MIN(AX119)</f>
        <v>0.51988557962791293</v>
      </c>
    </row>
    <row r="120" spans="1:52" x14ac:dyDescent="0.2">
      <c r="A120" s="19" t="s">
        <v>144</v>
      </c>
      <c r="B120" s="9">
        <v>253</v>
      </c>
      <c r="C120" s="10" t="s">
        <v>24</v>
      </c>
      <c r="D120" s="11" t="s">
        <v>139</v>
      </c>
      <c r="E120" s="9" t="s">
        <v>121</v>
      </c>
      <c r="F120" s="9" t="s">
        <v>127</v>
      </c>
      <c r="G120" s="9" t="s">
        <v>52</v>
      </c>
      <c r="H120" s="9" t="s">
        <v>571</v>
      </c>
      <c r="I120" s="12" t="s">
        <v>140</v>
      </c>
      <c r="J120" s="12" t="s">
        <v>53</v>
      </c>
      <c r="K120" s="12" t="s">
        <v>53</v>
      </c>
      <c r="L120" s="12" t="s">
        <v>31</v>
      </c>
      <c r="M120" s="12">
        <v>28</v>
      </c>
      <c r="N120" s="9" t="s">
        <v>55</v>
      </c>
      <c r="O120" s="13" t="s">
        <v>33</v>
      </c>
      <c r="P120" s="14" t="s">
        <v>141</v>
      </c>
      <c r="Q120" s="9">
        <v>20</v>
      </c>
      <c r="R120" s="9">
        <v>20</v>
      </c>
      <c r="S120" s="9" t="s">
        <v>142</v>
      </c>
      <c r="T120" s="9">
        <v>8.26</v>
      </c>
      <c r="U120" s="9">
        <v>6.718</v>
      </c>
      <c r="V120" s="9">
        <v>0.54</v>
      </c>
      <c r="W120" s="9" t="s">
        <v>37</v>
      </c>
      <c r="X120" s="9">
        <v>36.299999999999997</v>
      </c>
      <c r="Y120" s="9">
        <v>0.54</v>
      </c>
      <c r="Z120" s="15">
        <f t="shared" si="151"/>
        <v>1.9610361754850452</v>
      </c>
      <c r="AA120" s="15">
        <f t="shared" si="165"/>
        <v>2.3794994306920345</v>
      </c>
      <c r="AC120" s="16">
        <f t="shared" si="152"/>
        <v>0.26791683248190312</v>
      </c>
      <c r="AD120" s="26">
        <f t="shared" si="153"/>
        <v>3.7325015779572066</v>
      </c>
      <c r="AE120" s="51">
        <v>17</v>
      </c>
      <c r="AF120" s="85" t="str">
        <f t="shared" si="154"/>
        <v>EC10</v>
      </c>
      <c r="AG120" s="9">
        <f t="shared" si="155"/>
        <v>1</v>
      </c>
      <c r="AH120" s="18">
        <f t="shared" si="156"/>
        <v>2.3794994306920345</v>
      </c>
      <c r="AI120" s="88" t="str">
        <f t="shared" si="157"/>
        <v>Chronic</v>
      </c>
      <c r="AJ120" s="9">
        <f t="shared" si="158"/>
        <v>1</v>
      </c>
      <c r="AK120" s="18">
        <f t="shared" si="159"/>
        <v>2.3794994306920345</v>
      </c>
      <c r="AM120" s="101" t="str">
        <f t="shared" si="160"/>
        <v>EC10</v>
      </c>
      <c r="AN120" s="102" t="s">
        <v>356</v>
      </c>
      <c r="AO120" s="103" t="str">
        <f t="shared" si="161"/>
        <v>Chronic</v>
      </c>
      <c r="AP120" s="102" t="str">
        <f t="shared" si="166"/>
        <v>y</v>
      </c>
      <c r="AQ120" s="104" t="str">
        <f t="shared" si="162"/>
        <v>Mortality</v>
      </c>
      <c r="AR120" s="196" t="s">
        <v>459</v>
      </c>
      <c r="AS120" s="105">
        <f t="shared" si="163"/>
        <v>28</v>
      </c>
      <c r="AT120" s="158" t="s">
        <v>460</v>
      </c>
      <c r="AU120" s="197"/>
      <c r="AV120" s="154">
        <f t="shared" ref="AV120:AV123" si="169">AK120</f>
        <v>2.3794994306920345</v>
      </c>
      <c r="AW120" s="155"/>
      <c r="AX120" s="197"/>
      <c r="AY120" s="198"/>
    </row>
    <row r="121" spans="1:52" x14ac:dyDescent="0.2">
      <c r="A121" s="19" t="s">
        <v>146</v>
      </c>
      <c r="B121" s="9">
        <v>254</v>
      </c>
      <c r="C121" s="10" t="s">
        <v>24</v>
      </c>
      <c r="D121" s="11" t="s">
        <v>139</v>
      </c>
      <c r="E121" s="9" t="s">
        <v>121</v>
      </c>
      <c r="F121" s="9" t="s">
        <v>127</v>
      </c>
      <c r="G121" s="9" t="s">
        <v>52</v>
      </c>
      <c r="H121" s="9" t="s">
        <v>571</v>
      </c>
      <c r="I121" s="12" t="s">
        <v>140</v>
      </c>
      <c r="J121" s="12" t="s">
        <v>53</v>
      </c>
      <c r="K121" s="12" t="s">
        <v>53</v>
      </c>
      <c r="L121" s="12" t="s">
        <v>133</v>
      </c>
      <c r="M121" s="12">
        <v>28</v>
      </c>
      <c r="N121" s="9" t="s">
        <v>55</v>
      </c>
      <c r="O121" s="13" t="s">
        <v>33</v>
      </c>
      <c r="P121" s="14" t="s">
        <v>129</v>
      </c>
      <c r="Q121" s="9" t="s">
        <v>130</v>
      </c>
      <c r="R121" s="9">
        <v>20</v>
      </c>
      <c r="S121" s="9" t="s">
        <v>131</v>
      </c>
      <c r="T121" s="9">
        <v>8.1999999999999993</v>
      </c>
      <c r="U121" s="9">
        <v>5.9020000000000001</v>
      </c>
      <c r="V121" s="9" t="s">
        <v>134</v>
      </c>
      <c r="W121" s="9" t="s">
        <v>37</v>
      </c>
      <c r="X121" s="9">
        <v>7.67</v>
      </c>
      <c r="Y121" s="9">
        <v>0.13</v>
      </c>
      <c r="Z121" s="15">
        <f t="shared" si="151"/>
        <v>0.4284575216169903</v>
      </c>
      <c r="AA121" s="15">
        <f t="shared" si="165"/>
        <v>0.51988557962791293</v>
      </c>
      <c r="AB121" t="s">
        <v>577</v>
      </c>
      <c r="AC121" s="16">
        <f t="shared" si="152"/>
        <v>0.30760968147407108</v>
      </c>
      <c r="AD121" s="26">
        <f t="shared" si="153"/>
        <v>3.2508729738543409</v>
      </c>
      <c r="AE121" s="51">
        <v>17</v>
      </c>
      <c r="AF121" s="85" t="str">
        <f t="shared" si="154"/>
        <v>IC10</v>
      </c>
      <c r="AG121" s="9">
        <f t="shared" si="155"/>
        <v>1</v>
      </c>
      <c r="AH121" s="18">
        <f t="shared" si="156"/>
        <v>0.51988557962791293</v>
      </c>
      <c r="AI121" s="88" t="str">
        <f t="shared" si="157"/>
        <v>Chronic</v>
      </c>
      <c r="AJ121" s="9">
        <f t="shared" si="158"/>
        <v>1</v>
      </c>
      <c r="AK121" s="18">
        <f t="shared" si="159"/>
        <v>0.51988557962791293</v>
      </c>
      <c r="AL121" s="16"/>
      <c r="AM121" s="110" t="str">
        <f t="shared" si="160"/>
        <v>IC10</v>
      </c>
      <c r="AN121" s="111" t="s">
        <v>356</v>
      </c>
      <c r="AO121" s="112" t="str">
        <f t="shared" si="161"/>
        <v>Chronic</v>
      </c>
      <c r="AP121" s="111" t="str">
        <f t="shared" si="166"/>
        <v>y</v>
      </c>
      <c r="AQ121" s="134" t="str">
        <f t="shared" si="162"/>
        <v>Mortality</v>
      </c>
      <c r="AR121" s="199" t="s">
        <v>459</v>
      </c>
      <c r="AS121" s="114">
        <f t="shared" si="163"/>
        <v>28</v>
      </c>
      <c r="AT121" s="199" t="s">
        <v>460</v>
      </c>
      <c r="AU121" s="200"/>
      <c r="AV121" s="152">
        <f t="shared" si="169"/>
        <v>0.51988557962791293</v>
      </c>
      <c r="AW121" s="140">
        <f>GEOMEAN(AV120:AV121)</f>
        <v>1.112235335147026</v>
      </c>
      <c r="AX121" s="141">
        <f>MIN(AW121)</f>
        <v>1.112235335147026</v>
      </c>
      <c r="AY121" s="142">
        <f>MIN(AX121:AX121)</f>
        <v>1.112235335147026</v>
      </c>
    </row>
    <row r="122" spans="1:52" x14ac:dyDescent="0.2">
      <c r="A122" s="32" t="s">
        <v>148</v>
      </c>
      <c r="B122" s="33">
        <v>256</v>
      </c>
      <c r="C122" s="38" t="s">
        <v>24</v>
      </c>
      <c r="D122" s="35" t="s">
        <v>149</v>
      </c>
      <c r="E122" s="33" t="s">
        <v>121</v>
      </c>
      <c r="F122" s="33" t="s">
        <v>127</v>
      </c>
      <c r="G122" s="33" t="s">
        <v>52</v>
      </c>
      <c r="H122" s="33" t="s">
        <v>571</v>
      </c>
      <c r="I122" s="33" t="s">
        <v>37</v>
      </c>
      <c r="J122" s="36" t="s">
        <v>53</v>
      </c>
      <c r="K122" s="36" t="s">
        <v>53</v>
      </c>
      <c r="L122" s="36" t="s">
        <v>54</v>
      </c>
      <c r="M122" s="36">
        <v>6</v>
      </c>
      <c r="N122" s="33" t="s">
        <v>102</v>
      </c>
      <c r="O122" s="37" t="s">
        <v>33</v>
      </c>
      <c r="P122" s="38" t="s">
        <v>150</v>
      </c>
      <c r="Q122" s="33" t="s">
        <v>151</v>
      </c>
      <c r="R122" s="33">
        <v>21.8</v>
      </c>
      <c r="S122" s="33" t="s">
        <v>152</v>
      </c>
      <c r="T122" s="33">
        <v>7.8</v>
      </c>
      <c r="U122" s="33">
        <v>2.7679999999999998</v>
      </c>
      <c r="V122" s="33" t="s">
        <v>37</v>
      </c>
      <c r="W122" s="33">
        <v>30</v>
      </c>
      <c r="X122" s="33">
        <v>30</v>
      </c>
      <c r="Y122" s="40">
        <f t="shared" ref="Y122" si="170">X122/((U122/100)*1000)</f>
        <v>1.0838150289017343</v>
      </c>
      <c r="Z122" s="40">
        <f t="shared" si="151"/>
        <v>2.0127302212112239</v>
      </c>
      <c r="AA122" s="40">
        <f t="shared" si="165"/>
        <v>2.7427458562118412</v>
      </c>
      <c r="AB122" s="16"/>
      <c r="AC122" s="16">
        <f t="shared" si="152"/>
        <v>0.77268058509570214</v>
      </c>
      <c r="AD122" s="26">
        <f t="shared" si="153"/>
        <v>1.2941958414499863</v>
      </c>
      <c r="AE122" s="51">
        <v>17</v>
      </c>
      <c r="AF122" s="85" t="str">
        <f t="shared" si="154"/>
        <v>NOEC</v>
      </c>
      <c r="AG122" s="9">
        <f t="shared" si="155"/>
        <v>1</v>
      </c>
      <c r="AH122" s="18">
        <f t="shared" si="156"/>
        <v>2.7427458562118412</v>
      </c>
      <c r="AI122" s="88" t="str">
        <f t="shared" si="157"/>
        <v>Chronic</v>
      </c>
      <c r="AJ122" s="9">
        <f t="shared" si="158"/>
        <v>1</v>
      </c>
      <c r="AK122" s="18">
        <f t="shared" si="159"/>
        <v>2.7427458562118412</v>
      </c>
      <c r="AL122" s="16"/>
      <c r="AM122" s="101" t="str">
        <f t="shared" si="160"/>
        <v>NOEC</v>
      </c>
      <c r="AN122" s="102" t="s">
        <v>356</v>
      </c>
      <c r="AO122" s="103" t="str">
        <f t="shared" si="161"/>
        <v>Chronic</v>
      </c>
      <c r="AP122" s="102" t="str">
        <f t="shared" si="166"/>
        <v>y</v>
      </c>
      <c r="AQ122" s="104" t="str">
        <f t="shared" si="162"/>
        <v>Mortality</v>
      </c>
      <c r="AR122" s="102" t="s">
        <v>459</v>
      </c>
      <c r="AS122" s="105">
        <f t="shared" si="163"/>
        <v>6</v>
      </c>
      <c r="AT122" s="102" t="s">
        <v>460</v>
      </c>
      <c r="AU122" s="102"/>
      <c r="AV122" s="154">
        <f t="shared" si="169"/>
        <v>2.7427458562118412</v>
      </c>
      <c r="AW122" s="118">
        <f>GEOMEAN(AV122)</f>
        <v>2.7427458562118412</v>
      </c>
      <c r="AX122" s="119">
        <f>MIN(AW122:AW122)</f>
        <v>2.7427458562118412</v>
      </c>
      <c r="AY122" s="126">
        <f>MIN(AX122)</f>
        <v>2.7427458562118412</v>
      </c>
    </row>
    <row r="123" spans="1:52" x14ac:dyDescent="0.2">
      <c r="A123" s="8" t="s">
        <v>168</v>
      </c>
      <c r="B123" s="9">
        <v>242</v>
      </c>
      <c r="C123" s="10" t="s">
        <v>24</v>
      </c>
      <c r="D123" s="11" t="s">
        <v>155</v>
      </c>
      <c r="E123" s="9" t="s">
        <v>121</v>
      </c>
      <c r="F123" s="9" t="s">
        <v>127</v>
      </c>
      <c r="G123" s="9" t="s">
        <v>52</v>
      </c>
      <c r="H123" s="9" t="s">
        <v>571</v>
      </c>
      <c r="I123" s="12" t="s">
        <v>156</v>
      </c>
      <c r="J123" s="12" t="s">
        <v>136</v>
      </c>
      <c r="K123" s="12" t="s">
        <v>169</v>
      </c>
      <c r="L123" s="12" t="s">
        <v>54</v>
      </c>
      <c r="M123" s="12">
        <v>60</v>
      </c>
      <c r="N123" s="9" t="s">
        <v>55</v>
      </c>
      <c r="O123" s="13" t="s">
        <v>33</v>
      </c>
      <c r="P123" s="14" t="s">
        <v>157</v>
      </c>
      <c r="Q123" s="9">
        <v>20</v>
      </c>
      <c r="R123" s="9">
        <v>20</v>
      </c>
      <c r="S123" s="28" t="s">
        <v>158</v>
      </c>
      <c r="T123" s="28">
        <v>7.73</v>
      </c>
      <c r="U123" s="26" t="s">
        <v>170</v>
      </c>
      <c r="V123" s="9">
        <v>0.65</v>
      </c>
      <c r="W123" s="9">
        <v>12</v>
      </c>
      <c r="X123" s="9">
        <v>12</v>
      </c>
      <c r="Y123" s="9">
        <v>0.65</v>
      </c>
      <c r="Z123" s="15">
        <f t="shared" si="151"/>
        <v>1.1105489745328638</v>
      </c>
      <c r="AA123" s="15">
        <f t="shared" si="165"/>
        <v>1.3475277435934909</v>
      </c>
      <c r="AC123" s="16">
        <f t="shared" si="152"/>
        <v>0.90782053017818432</v>
      </c>
      <c r="AD123" s="26">
        <f t="shared" si="153"/>
        <v>1.1015393095414168</v>
      </c>
      <c r="AE123" s="51">
        <v>17</v>
      </c>
      <c r="AF123" s="85" t="str">
        <f t="shared" si="154"/>
        <v>NOEC</v>
      </c>
      <c r="AG123" s="9">
        <f t="shared" si="155"/>
        <v>1</v>
      </c>
      <c r="AH123" s="18">
        <f t="shared" si="156"/>
        <v>1.3475277435934909</v>
      </c>
      <c r="AI123" s="88" t="str">
        <f t="shared" si="157"/>
        <v>Chronic</v>
      </c>
      <c r="AJ123" s="9">
        <f t="shared" si="158"/>
        <v>1</v>
      </c>
      <c r="AK123" s="18">
        <f t="shared" si="159"/>
        <v>1.3475277435934909</v>
      </c>
      <c r="AL123" s="16"/>
      <c r="AM123" s="110" t="str">
        <f t="shared" si="160"/>
        <v>NOEC</v>
      </c>
      <c r="AN123" s="111" t="s">
        <v>356</v>
      </c>
      <c r="AO123" s="112" t="str">
        <f t="shared" si="161"/>
        <v>Chronic</v>
      </c>
      <c r="AP123" s="111" t="str">
        <f t="shared" si="166"/>
        <v>y</v>
      </c>
      <c r="AQ123" s="134" t="str">
        <f t="shared" si="162"/>
        <v>Length</v>
      </c>
      <c r="AR123" s="111" t="s">
        <v>475</v>
      </c>
      <c r="AS123" s="114">
        <f t="shared" si="163"/>
        <v>60</v>
      </c>
      <c r="AT123" s="111" t="s">
        <v>476</v>
      </c>
      <c r="AU123" s="111"/>
      <c r="AV123" s="152">
        <f t="shared" si="169"/>
        <v>1.3475277435934909</v>
      </c>
      <c r="AW123" s="140">
        <f>GEOMEAN(AV123)</f>
        <v>1.3475277435934909</v>
      </c>
      <c r="AX123" s="141">
        <f>MIN(AW123)</f>
        <v>1.3475277435934909</v>
      </c>
      <c r="AY123" s="142">
        <f>MIN(AX123:AX123)</f>
        <v>1.3475277435934909</v>
      </c>
    </row>
    <row r="124" spans="1:52" x14ac:dyDescent="0.2">
      <c r="A124" s="32" t="s">
        <v>176</v>
      </c>
      <c r="B124" s="33">
        <v>254</v>
      </c>
      <c r="C124" s="34" t="s">
        <v>24</v>
      </c>
      <c r="D124" s="35" t="s">
        <v>172</v>
      </c>
      <c r="E124" s="33" t="s">
        <v>121</v>
      </c>
      <c r="F124" s="33" t="s">
        <v>127</v>
      </c>
      <c r="G124" s="33" t="s">
        <v>52</v>
      </c>
      <c r="H124" s="33" t="s">
        <v>571</v>
      </c>
      <c r="I124" s="36" t="s">
        <v>128</v>
      </c>
      <c r="J124" s="36" t="s">
        <v>177</v>
      </c>
      <c r="K124" s="36" t="s">
        <v>137</v>
      </c>
      <c r="L124" s="36" t="s">
        <v>133</v>
      </c>
      <c r="M124" s="36">
        <v>28</v>
      </c>
      <c r="N124" s="33" t="s">
        <v>55</v>
      </c>
      <c r="O124" s="37" t="s">
        <v>33</v>
      </c>
      <c r="P124" s="38" t="s">
        <v>129</v>
      </c>
      <c r="Q124" s="33" t="s">
        <v>130</v>
      </c>
      <c r="R124" s="33">
        <v>20</v>
      </c>
      <c r="S124" s="33" t="s">
        <v>131</v>
      </c>
      <c r="T124" s="33">
        <v>8.1999999999999993</v>
      </c>
      <c r="U124" s="33">
        <v>5.9020000000000001</v>
      </c>
      <c r="V124" s="33" t="s">
        <v>175</v>
      </c>
      <c r="W124" s="33" t="s">
        <v>37</v>
      </c>
      <c r="X124" s="33">
        <v>23.6</v>
      </c>
      <c r="Y124" s="33">
        <v>0.4</v>
      </c>
      <c r="Z124" s="40">
        <f t="shared" si="151"/>
        <v>1.3183308357445855</v>
      </c>
      <c r="AA124" s="40">
        <f t="shared" si="165"/>
        <v>1.5996479373166554</v>
      </c>
      <c r="AB124" t="s">
        <v>577</v>
      </c>
      <c r="AC124" s="16">
        <f t="shared" si="152"/>
        <v>0.30760968147407108</v>
      </c>
      <c r="AD124" s="26">
        <f t="shared" si="153"/>
        <v>3.2508729738543409</v>
      </c>
      <c r="AE124" s="51">
        <v>17</v>
      </c>
      <c r="AF124" s="85" t="str">
        <f t="shared" si="154"/>
        <v>IC10</v>
      </c>
      <c r="AG124" s="9">
        <f t="shared" si="155"/>
        <v>1</v>
      </c>
      <c r="AH124" s="18">
        <f t="shared" si="156"/>
        <v>1.5996479373166554</v>
      </c>
      <c r="AI124" s="88" t="str">
        <f t="shared" si="157"/>
        <v>Chronic</v>
      </c>
      <c r="AJ124" s="9">
        <f t="shared" si="158"/>
        <v>1</v>
      </c>
      <c r="AK124" s="18">
        <f t="shared" si="159"/>
        <v>1.5996479373166554</v>
      </c>
      <c r="AL124" s="16"/>
      <c r="AM124" s="110" t="str">
        <f t="shared" si="160"/>
        <v>IC10</v>
      </c>
      <c r="AN124" s="111" t="s">
        <v>356</v>
      </c>
      <c r="AO124" s="112" t="str">
        <f t="shared" si="161"/>
        <v>Chronic</v>
      </c>
      <c r="AP124" s="111" t="str">
        <f t="shared" si="166"/>
        <v>y</v>
      </c>
      <c r="AQ124" s="134" t="str">
        <f t="shared" si="162"/>
        <v>Shell length</v>
      </c>
      <c r="AR124" s="111" t="s">
        <v>473</v>
      </c>
      <c r="AS124" s="114">
        <f t="shared" si="163"/>
        <v>28</v>
      </c>
      <c r="AT124" s="111" t="s">
        <v>474</v>
      </c>
      <c r="AU124" s="111"/>
      <c r="AV124" s="152">
        <f>AK124</f>
        <v>1.5996479373166554</v>
      </c>
      <c r="AW124" s="140">
        <f>GEOMEAN(AV124)</f>
        <v>1.5996479373166554</v>
      </c>
      <c r="AX124" s="141">
        <f>MIN(AW124)</f>
        <v>1.5996479373166554</v>
      </c>
      <c r="AY124" s="142">
        <f>MIN(AX124:AX124)</f>
        <v>1.5996479373166554</v>
      </c>
    </row>
    <row r="125" spans="1:52" x14ac:dyDescent="0.2">
      <c r="A125" s="193" t="s">
        <v>606</v>
      </c>
    </row>
    <row r="126" spans="1:52" x14ac:dyDescent="0.2">
      <c r="A126" s="32" t="s">
        <v>48</v>
      </c>
      <c r="B126" s="33">
        <v>236</v>
      </c>
      <c r="C126" s="34" t="s">
        <v>24</v>
      </c>
      <c r="D126" s="35" t="s">
        <v>49</v>
      </c>
      <c r="E126" s="33" t="s">
        <v>50</v>
      </c>
      <c r="F126" s="33" t="s">
        <v>51</v>
      </c>
      <c r="G126" s="33" t="s">
        <v>52</v>
      </c>
      <c r="H126" s="33" t="s">
        <v>571</v>
      </c>
      <c r="I126" s="36" t="s">
        <v>37</v>
      </c>
      <c r="J126" s="36" t="s">
        <v>53</v>
      </c>
      <c r="K126" s="36" t="s">
        <v>53</v>
      </c>
      <c r="L126" s="36" t="s">
        <v>54</v>
      </c>
      <c r="M126" s="36">
        <v>30</v>
      </c>
      <c r="N126" s="33" t="s">
        <v>55</v>
      </c>
      <c r="O126" s="37" t="s">
        <v>33</v>
      </c>
      <c r="P126" s="38" t="s">
        <v>56</v>
      </c>
      <c r="Q126" s="33" t="s">
        <v>57</v>
      </c>
      <c r="R126" s="40">
        <v>15.1</v>
      </c>
      <c r="S126" s="33" t="s">
        <v>58</v>
      </c>
      <c r="T126" s="33">
        <v>8.11</v>
      </c>
      <c r="U126" s="33">
        <v>3.42</v>
      </c>
      <c r="V126" s="33" t="s">
        <v>37</v>
      </c>
      <c r="W126" s="33">
        <v>20</v>
      </c>
      <c r="X126" s="40">
        <v>20</v>
      </c>
      <c r="Y126" s="40">
        <f t="shared" ref="Y126:Y130" si="171">X126/((U126/100)*1000)</f>
        <v>0.58479532163742687</v>
      </c>
      <c r="Z126" s="40">
        <f t="shared" ref="Z126:Z139" si="172">Y126/((0.0278/(1+AC126))+(1.1994/(1+AD126)))</f>
        <v>1.6734482467670493</v>
      </c>
      <c r="AA126" s="40">
        <f>POWER(10,LOG(Z126)-(-0.028*(R126-AE126)))</f>
        <v>1.3880729335553197</v>
      </c>
      <c r="AC126" s="16">
        <f t="shared" ref="AC126:AC139" si="173">POWER(10,7.688-T126)</f>
        <v>0.37844258471709358</v>
      </c>
      <c r="AD126" s="26">
        <f t="shared" ref="AD126:AD139" si="174">POWER(10,T126-7.688)</f>
        <v>2.6424087573219448</v>
      </c>
      <c r="AE126" s="51">
        <v>18</v>
      </c>
      <c r="AF126" s="85" t="str">
        <f t="shared" ref="AF126:AF139" si="175">L126</f>
        <v>NOEC</v>
      </c>
      <c r="AG126" s="9">
        <f t="shared" ref="AG126:AG139" si="176">VLOOKUP(AF126,$BD$6:$BE$17,2,FALSE)</f>
        <v>1</v>
      </c>
      <c r="AH126" s="18">
        <f t="shared" ref="AH126:AH139" si="177">AA126/AG126</f>
        <v>1.3880729335553197</v>
      </c>
      <c r="AI126" s="88" t="str">
        <f t="shared" ref="AI126:AI139" si="178">O126</f>
        <v>Chronic</v>
      </c>
      <c r="AJ126" s="9">
        <f t="shared" ref="AJ126:AJ139" si="179">VLOOKUP(AI126,$BD$19:$BF$20,2,FALSE)</f>
        <v>1</v>
      </c>
      <c r="AK126" s="18">
        <f t="shared" ref="AK126:AK139" si="180">AH126/AJ126</f>
        <v>1.3880729335553197</v>
      </c>
      <c r="AL126" s="16"/>
      <c r="AM126" s="127" t="str">
        <f t="shared" ref="AM126:AM139" si="181">L126</f>
        <v>NOEC</v>
      </c>
      <c r="AN126" s="128" t="s">
        <v>356</v>
      </c>
      <c r="AO126" s="129" t="str">
        <f t="shared" ref="AO126:AO139" si="182">O126</f>
        <v>Chronic</v>
      </c>
      <c r="AP126" s="128" t="str">
        <f>IF(AO126="chronic","y","n")</f>
        <v>y</v>
      </c>
      <c r="AQ126" s="130" t="str">
        <f t="shared" ref="AQ126:AQ139" si="183">K126</f>
        <v>Mortality</v>
      </c>
      <c r="AR126" s="128" t="s">
        <v>459</v>
      </c>
      <c r="AS126" s="131">
        <f t="shared" ref="AS126:AS139" si="184">M126</f>
        <v>30</v>
      </c>
      <c r="AT126" s="128" t="s">
        <v>460</v>
      </c>
      <c r="AU126" s="128"/>
      <c r="AV126" s="189">
        <f t="shared" ref="AV126:AV132" si="185">AK126</f>
        <v>1.3880729335553197</v>
      </c>
      <c r="AW126" s="144">
        <f>GEOMEAN(AV126)</f>
        <v>1.3880729335553197</v>
      </c>
      <c r="AX126" s="148">
        <f>MIN(AW126)</f>
        <v>1.3880729335553197</v>
      </c>
      <c r="AY126" s="149">
        <f>MIN(AX126)</f>
        <v>1.3880729335553197</v>
      </c>
      <c r="AZ126" s="206" t="str">
        <f>A125</f>
        <v>18°C</v>
      </c>
    </row>
    <row r="127" spans="1:52" x14ac:dyDescent="0.2">
      <c r="A127" s="19" t="s">
        <v>59</v>
      </c>
      <c r="B127" s="9">
        <v>245</v>
      </c>
      <c r="C127" s="10" t="s">
        <v>24</v>
      </c>
      <c r="D127" s="11" t="s">
        <v>60</v>
      </c>
      <c r="E127" s="20" t="s">
        <v>61</v>
      </c>
      <c r="F127" s="9" t="s">
        <v>62</v>
      </c>
      <c r="G127" s="9" t="s">
        <v>52</v>
      </c>
      <c r="H127" s="9" t="s">
        <v>571</v>
      </c>
      <c r="I127" s="12" t="s">
        <v>63</v>
      </c>
      <c r="J127" s="12" t="s">
        <v>64</v>
      </c>
      <c r="K127" s="12" t="s">
        <v>64</v>
      </c>
      <c r="L127" s="12" t="s">
        <v>54</v>
      </c>
      <c r="M127" s="12">
        <v>7</v>
      </c>
      <c r="N127" s="9" t="s">
        <v>55</v>
      </c>
      <c r="O127" s="21" t="s">
        <v>33</v>
      </c>
      <c r="P127" s="14" t="s">
        <v>65</v>
      </c>
      <c r="Q127" s="9">
        <v>25</v>
      </c>
      <c r="R127" s="9">
        <v>25</v>
      </c>
      <c r="S127" s="22">
        <v>8</v>
      </c>
      <c r="T127" s="22">
        <v>8</v>
      </c>
      <c r="U127" s="20">
        <v>5.3659999999999997</v>
      </c>
      <c r="V127" s="20" t="s">
        <v>37</v>
      </c>
      <c r="W127" s="20">
        <v>680</v>
      </c>
      <c r="X127" s="9">
        <v>680</v>
      </c>
      <c r="Y127" s="27">
        <f t="shared" si="171"/>
        <v>12.672381662318301</v>
      </c>
      <c r="Z127" s="15">
        <f t="shared" si="172"/>
        <v>30.774279778328605</v>
      </c>
      <c r="AA127" s="15">
        <f t="shared" ref="AA127:AA139" si="186">POWER(10,LOG(Z127)-(-0.028*(R127-AE127)))</f>
        <v>48.326784294041438</v>
      </c>
      <c r="AC127" s="16">
        <f t="shared" si="173"/>
        <v>0.48752849010338595</v>
      </c>
      <c r="AD127" s="26">
        <f t="shared" si="174"/>
        <v>2.051162178825567</v>
      </c>
      <c r="AE127" s="51">
        <v>18</v>
      </c>
      <c r="AF127" s="85" t="str">
        <f t="shared" si="175"/>
        <v>NOEC</v>
      </c>
      <c r="AG127" s="9">
        <f t="shared" si="176"/>
        <v>1</v>
      </c>
      <c r="AH127" s="18">
        <f t="shared" si="177"/>
        <v>48.326784294041438</v>
      </c>
      <c r="AI127" s="88" t="str">
        <f t="shared" si="178"/>
        <v>Chronic</v>
      </c>
      <c r="AJ127" s="9">
        <f t="shared" si="179"/>
        <v>1</v>
      </c>
      <c r="AK127" s="18">
        <f t="shared" si="180"/>
        <v>48.326784294041438</v>
      </c>
      <c r="AL127" s="16"/>
      <c r="AM127" s="101" t="str">
        <f t="shared" si="181"/>
        <v>NOEC</v>
      </c>
      <c r="AN127" s="102" t="s">
        <v>356</v>
      </c>
      <c r="AO127" s="103" t="str">
        <f t="shared" si="182"/>
        <v>Chronic</v>
      </c>
      <c r="AP127" s="102" t="str">
        <f t="shared" ref="AP127:AP139" si="187">IF(AO127="chronic","y","n")</f>
        <v>y</v>
      </c>
      <c r="AQ127" s="104" t="str">
        <f t="shared" si="183"/>
        <v>Reproduction</v>
      </c>
      <c r="AR127" s="102" t="s">
        <v>459</v>
      </c>
      <c r="AS127" s="105">
        <f t="shared" si="184"/>
        <v>7</v>
      </c>
      <c r="AT127" s="102" t="s">
        <v>460</v>
      </c>
      <c r="AU127" s="102"/>
      <c r="AV127" s="106">
        <f t="shared" si="185"/>
        <v>48.326784294041438</v>
      </c>
      <c r="AW127" s="107">
        <f>GEOMEAN(AV127:AV127)</f>
        <v>48.326784294041438</v>
      </c>
      <c r="AX127" s="108">
        <f>MIN(AW127:AW127)</f>
        <v>48.326784294041438</v>
      </c>
      <c r="AY127" s="109">
        <f>MIN(AX127)</f>
        <v>48.326784294041438</v>
      </c>
    </row>
    <row r="128" spans="1:52" x14ac:dyDescent="0.2">
      <c r="A128" s="32" t="s">
        <v>82</v>
      </c>
      <c r="B128" s="33">
        <v>240</v>
      </c>
      <c r="C128" s="34" t="s">
        <v>24</v>
      </c>
      <c r="D128" s="35" t="s">
        <v>77</v>
      </c>
      <c r="E128" s="33" t="s">
        <v>61</v>
      </c>
      <c r="F128" s="33" t="s">
        <v>62</v>
      </c>
      <c r="G128" s="33" t="s">
        <v>52</v>
      </c>
      <c r="H128" s="33" t="s">
        <v>571</v>
      </c>
      <c r="I128" s="36" t="s">
        <v>78</v>
      </c>
      <c r="J128" s="36" t="s">
        <v>83</v>
      </c>
      <c r="K128" s="36" t="s">
        <v>84</v>
      </c>
      <c r="L128" s="36" t="s">
        <v>54</v>
      </c>
      <c r="M128" s="36">
        <v>21</v>
      </c>
      <c r="N128" s="33" t="s">
        <v>55</v>
      </c>
      <c r="O128" s="37" t="s">
        <v>33</v>
      </c>
      <c r="P128" s="38" t="s">
        <v>79</v>
      </c>
      <c r="Q128" s="33" t="s">
        <v>80</v>
      </c>
      <c r="R128" s="40">
        <v>19.8</v>
      </c>
      <c r="S128" s="33" t="s">
        <v>81</v>
      </c>
      <c r="T128" s="33">
        <v>8.4499999999999993</v>
      </c>
      <c r="U128" s="33">
        <v>9.9039999999999999</v>
      </c>
      <c r="V128" s="44" t="s">
        <v>37</v>
      </c>
      <c r="W128" s="44" t="s">
        <v>37</v>
      </c>
      <c r="X128" s="33">
        <v>420</v>
      </c>
      <c r="Y128" s="40">
        <f t="shared" si="171"/>
        <v>4.2407108239095308</v>
      </c>
      <c r="Z128" s="40">
        <f t="shared" si="172"/>
        <v>21.142464693435951</v>
      </c>
      <c r="AA128" s="40">
        <f t="shared" si="186"/>
        <v>23.744094606767728</v>
      </c>
      <c r="AC128" s="16">
        <f t="shared" si="173"/>
        <v>0.17298163592151028</v>
      </c>
      <c r="AD128" s="26">
        <f t="shared" si="174"/>
        <v>5.7809604740571769</v>
      </c>
      <c r="AE128" s="51">
        <v>18</v>
      </c>
      <c r="AF128" s="85" t="str">
        <f t="shared" si="175"/>
        <v>NOEC</v>
      </c>
      <c r="AG128" s="9">
        <f t="shared" si="176"/>
        <v>1</v>
      </c>
      <c r="AH128" s="18">
        <f t="shared" si="177"/>
        <v>23.744094606767728</v>
      </c>
      <c r="AI128" s="88" t="str">
        <f t="shared" si="178"/>
        <v>Chronic</v>
      </c>
      <c r="AJ128" s="9">
        <f t="shared" si="179"/>
        <v>1</v>
      </c>
      <c r="AK128" s="18">
        <f t="shared" si="180"/>
        <v>23.744094606767728</v>
      </c>
      <c r="AL128" s="16"/>
      <c r="AM128" s="101" t="str">
        <f t="shared" si="181"/>
        <v>NOEC</v>
      </c>
      <c r="AN128" s="102" t="s">
        <v>356</v>
      </c>
      <c r="AO128" s="103" t="str">
        <f t="shared" si="182"/>
        <v>Chronic</v>
      </c>
      <c r="AP128" s="102" t="str">
        <f t="shared" si="187"/>
        <v>y</v>
      </c>
      <c r="AQ128" s="104" t="str">
        <f t="shared" si="183"/>
        <v>Mean total young/daphnid</v>
      </c>
      <c r="AR128" s="102" t="s">
        <v>459</v>
      </c>
      <c r="AS128" s="105">
        <f t="shared" si="184"/>
        <v>21</v>
      </c>
      <c r="AT128" s="102" t="s">
        <v>460</v>
      </c>
      <c r="AU128" s="102"/>
      <c r="AV128" s="147">
        <f t="shared" si="185"/>
        <v>23.744094606767728</v>
      </c>
      <c r="AW128" s="107">
        <f>GEOMEAN(AV128:AV128)</f>
        <v>23.744094606767728</v>
      </c>
      <c r="AX128" s="108">
        <f>MIN(AW128)</f>
        <v>23.744094606767728</v>
      </c>
      <c r="AY128" s="109"/>
    </row>
    <row r="129" spans="1:52" x14ac:dyDescent="0.2">
      <c r="A129" s="32" t="s">
        <v>87</v>
      </c>
      <c r="B129" s="33">
        <v>240</v>
      </c>
      <c r="C129" s="34" t="s">
        <v>24</v>
      </c>
      <c r="D129" s="35" t="s">
        <v>77</v>
      </c>
      <c r="E129" s="33" t="s">
        <v>61</v>
      </c>
      <c r="F129" s="33" t="s">
        <v>62</v>
      </c>
      <c r="G129" s="33" t="s">
        <v>52</v>
      </c>
      <c r="H129" s="33" t="s">
        <v>571</v>
      </c>
      <c r="I129" s="36" t="s">
        <v>78</v>
      </c>
      <c r="J129" s="36" t="s">
        <v>83</v>
      </c>
      <c r="K129" s="36" t="s">
        <v>88</v>
      </c>
      <c r="L129" s="36" t="s">
        <v>54</v>
      </c>
      <c r="M129" s="36">
        <v>21</v>
      </c>
      <c r="N129" s="33" t="s">
        <v>55</v>
      </c>
      <c r="O129" s="37" t="s">
        <v>33</v>
      </c>
      <c r="P129" s="38" t="s">
        <v>79</v>
      </c>
      <c r="Q129" s="33" t="s">
        <v>80</v>
      </c>
      <c r="R129" s="40">
        <v>19.8</v>
      </c>
      <c r="S129" s="33" t="s">
        <v>81</v>
      </c>
      <c r="T129" s="33">
        <v>8.4499999999999993</v>
      </c>
      <c r="U129" s="33">
        <v>9.9039999999999999</v>
      </c>
      <c r="V129" s="44" t="s">
        <v>37</v>
      </c>
      <c r="W129" s="44" t="s">
        <v>37</v>
      </c>
      <c r="X129" s="33">
        <v>420</v>
      </c>
      <c r="Y129" s="40">
        <f t="shared" si="171"/>
        <v>4.2407108239095308</v>
      </c>
      <c r="Z129" s="40">
        <f t="shared" si="172"/>
        <v>21.142464693435951</v>
      </c>
      <c r="AA129" s="40">
        <f t="shared" si="186"/>
        <v>23.744094606767728</v>
      </c>
      <c r="AC129" s="16">
        <f t="shared" si="173"/>
        <v>0.17298163592151028</v>
      </c>
      <c r="AD129" s="26">
        <f t="shared" si="174"/>
        <v>5.7809604740571769</v>
      </c>
      <c r="AE129" s="51">
        <v>18</v>
      </c>
      <c r="AF129" s="85" t="str">
        <f t="shared" si="175"/>
        <v>NOEC</v>
      </c>
      <c r="AG129" s="9">
        <f t="shared" si="176"/>
        <v>1</v>
      </c>
      <c r="AH129" s="18">
        <f t="shared" si="177"/>
        <v>23.744094606767728</v>
      </c>
      <c r="AI129" s="88" t="str">
        <f t="shared" si="178"/>
        <v>Chronic</v>
      </c>
      <c r="AJ129" s="9">
        <f t="shared" si="179"/>
        <v>1</v>
      </c>
      <c r="AK129" s="18">
        <f t="shared" si="180"/>
        <v>23.744094606767728</v>
      </c>
      <c r="AL129" s="16"/>
      <c r="AM129" s="132" t="str">
        <f t="shared" si="181"/>
        <v>NOEC</v>
      </c>
      <c r="AN129" s="67" t="s">
        <v>356</v>
      </c>
      <c r="AO129" s="88" t="str">
        <f t="shared" si="182"/>
        <v>Chronic</v>
      </c>
      <c r="AP129" s="67" t="str">
        <f t="shared" si="187"/>
        <v>y</v>
      </c>
      <c r="AQ129" s="69" t="str">
        <f t="shared" si="183"/>
        <v>Mean brood size/daphnid</v>
      </c>
      <c r="AR129" s="67" t="s">
        <v>475</v>
      </c>
      <c r="AS129" s="70">
        <f t="shared" si="184"/>
        <v>21</v>
      </c>
      <c r="AT129" s="67" t="s">
        <v>476</v>
      </c>
      <c r="AU129" s="67"/>
      <c r="AV129" s="82">
        <f t="shared" si="185"/>
        <v>23.744094606767728</v>
      </c>
      <c r="AW129" s="81">
        <f>GEOMEAN(AV129:AV129)</f>
        <v>23.744094606767728</v>
      </c>
      <c r="AX129" s="78">
        <f>MIN(AW129)</f>
        <v>23.744094606767728</v>
      </c>
      <c r="AY129" s="133"/>
    </row>
    <row r="130" spans="1:52" x14ac:dyDescent="0.2">
      <c r="A130" s="32" t="s">
        <v>89</v>
      </c>
      <c r="B130" s="33">
        <v>240</v>
      </c>
      <c r="C130" s="34" t="s">
        <v>24</v>
      </c>
      <c r="D130" s="35" t="s">
        <v>77</v>
      </c>
      <c r="E130" s="33" t="s">
        <v>61</v>
      </c>
      <c r="F130" s="33" t="s">
        <v>62</v>
      </c>
      <c r="G130" s="33" t="s">
        <v>52</v>
      </c>
      <c r="H130" s="33" t="s">
        <v>571</v>
      </c>
      <c r="I130" s="36" t="s">
        <v>78</v>
      </c>
      <c r="J130" s="36" t="s">
        <v>53</v>
      </c>
      <c r="K130" s="36" t="s">
        <v>53</v>
      </c>
      <c r="L130" s="36" t="s">
        <v>54</v>
      </c>
      <c r="M130" s="36">
        <v>21</v>
      </c>
      <c r="N130" s="33" t="s">
        <v>55</v>
      </c>
      <c r="O130" s="37" t="s">
        <v>33</v>
      </c>
      <c r="P130" s="38" t="s">
        <v>79</v>
      </c>
      <c r="Q130" s="33" t="s">
        <v>80</v>
      </c>
      <c r="R130" s="40">
        <v>19.8</v>
      </c>
      <c r="S130" s="33" t="s">
        <v>81</v>
      </c>
      <c r="T130" s="33">
        <v>8.4499999999999993</v>
      </c>
      <c r="U130" s="33">
        <v>9.9039999999999999</v>
      </c>
      <c r="V130" s="44" t="s">
        <v>37</v>
      </c>
      <c r="W130" s="44" t="s">
        <v>37</v>
      </c>
      <c r="X130" s="33">
        <v>420</v>
      </c>
      <c r="Y130" s="40">
        <f t="shared" si="171"/>
        <v>4.2407108239095308</v>
      </c>
      <c r="Z130" s="40">
        <f t="shared" si="172"/>
        <v>21.142464693435951</v>
      </c>
      <c r="AA130" s="40">
        <f t="shared" si="186"/>
        <v>23.744094606767728</v>
      </c>
      <c r="AC130" s="16">
        <f t="shared" si="173"/>
        <v>0.17298163592151028</v>
      </c>
      <c r="AD130" s="26">
        <f t="shared" si="174"/>
        <v>5.7809604740571769</v>
      </c>
      <c r="AE130" s="51">
        <v>18</v>
      </c>
      <c r="AF130" s="85" t="str">
        <f t="shared" si="175"/>
        <v>NOEC</v>
      </c>
      <c r="AG130" s="9">
        <f t="shared" si="176"/>
        <v>1</v>
      </c>
      <c r="AH130" s="18">
        <f t="shared" si="177"/>
        <v>23.744094606767728</v>
      </c>
      <c r="AI130" s="88" t="str">
        <f t="shared" si="178"/>
        <v>Chronic</v>
      </c>
      <c r="AJ130" s="9">
        <f t="shared" si="179"/>
        <v>1</v>
      </c>
      <c r="AK130" s="18">
        <f t="shared" si="180"/>
        <v>23.744094606767728</v>
      </c>
      <c r="AL130" s="16"/>
      <c r="AM130" s="110" t="str">
        <f t="shared" si="181"/>
        <v>NOEC</v>
      </c>
      <c r="AN130" s="111" t="s">
        <v>356</v>
      </c>
      <c r="AO130" s="112" t="str">
        <f t="shared" si="182"/>
        <v>Chronic</v>
      </c>
      <c r="AP130" s="111" t="str">
        <f t="shared" si="187"/>
        <v>y</v>
      </c>
      <c r="AQ130" s="134" t="str">
        <f t="shared" si="183"/>
        <v>Mortality</v>
      </c>
      <c r="AR130" s="111" t="s">
        <v>55</v>
      </c>
      <c r="AS130" s="114">
        <f t="shared" si="184"/>
        <v>21</v>
      </c>
      <c r="AT130" s="111" t="s">
        <v>477</v>
      </c>
      <c r="AU130" s="111"/>
      <c r="AV130" s="138">
        <f t="shared" si="185"/>
        <v>23.744094606767728</v>
      </c>
      <c r="AW130" s="135">
        <f>GEOMEAN(AV130:AV130)</f>
        <v>23.744094606767728</v>
      </c>
      <c r="AX130" s="136">
        <f>MIN(AW130)</f>
        <v>23.744094606767728</v>
      </c>
      <c r="AY130" s="137">
        <f>MIN(AX128:AX130)</f>
        <v>23.744094606767728</v>
      </c>
    </row>
    <row r="131" spans="1:52" x14ac:dyDescent="0.2">
      <c r="A131" s="19" t="s">
        <v>90</v>
      </c>
      <c r="B131" s="23">
        <v>231</v>
      </c>
      <c r="C131" s="10" t="s">
        <v>24</v>
      </c>
      <c r="D131" s="11" t="s">
        <v>91</v>
      </c>
      <c r="E131" s="9" t="s">
        <v>61</v>
      </c>
      <c r="F131" s="9" t="s">
        <v>92</v>
      </c>
      <c r="G131" s="9" t="s">
        <v>93</v>
      </c>
      <c r="H131" s="9" t="s">
        <v>571</v>
      </c>
      <c r="I131" s="9" t="s">
        <v>94</v>
      </c>
      <c r="J131" s="12" t="s">
        <v>53</v>
      </c>
      <c r="K131" s="12" t="s">
        <v>95</v>
      </c>
      <c r="L131" s="12" t="s">
        <v>54</v>
      </c>
      <c r="M131" s="9">
        <v>29</v>
      </c>
      <c r="N131" s="9" t="s">
        <v>55</v>
      </c>
      <c r="O131" s="9" t="s">
        <v>33</v>
      </c>
      <c r="P131" s="14" t="s">
        <v>96</v>
      </c>
      <c r="Q131" s="23">
        <v>15.8</v>
      </c>
      <c r="R131" s="94">
        <v>15.8</v>
      </c>
      <c r="S131" s="9">
        <v>8.3699999999999992</v>
      </c>
      <c r="T131" s="9">
        <v>8.3699999999999992</v>
      </c>
      <c r="U131" s="9">
        <v>6.3609999999999998</v>
      </c>
      <c r="V131" s="9">
        <v>0.94899999999999995</v>
      </c>
      <c r="W131" s="9">
        <v>66</v>
      </c>
      <c r="X131" s="9">
        <v>66</v>
      </c>
      <c r="Y131" s="9">
        <v>0.94899999999999995</v>
      </c>
      <c r="Z131" s="15">
        <f t="shared" si="172"/>
        <v>4.1349303568432507</v>
      </c>
      <c r="AA131" s="15">
        <f t="shared" si="186"/>
        <v>3.588130246940807</v>
      </c>
      <c r="AC131" s="16">
        <f t="shared" si="173"/>
        <v>0.20796966871036979</v>
      </c>
      <c r="AD131" s="26">
        <f t="shared" si="174"/>
        <v>4.8083934844972802</v>
      </c>
      <c r="AE131" s="51">
        <v>18</v>
      </c>
      <c r="AF131" s="85" t="str">
        <f t="shared" si="175"/>
        <v>NOEC</v>
      </c>
      <c r="AG131" s="9">
        <f t="shared" si="176"/>
        <v>1</v>
      </c>
      <c r="AH131" s="18">
        <f t="shared" si="177"/>
        <v>3.588130246940807</v>
      </c>
      <c r="AI131" s="88" t="str">
        <f t="shared" si="178"/>
        <v>Chronic</v>
      </c>
      <c r="AJ131" s="9">
        <f t="shared" si="179"/>
        <v>1</v>
      </c>
      <c r="AK131" s="18">
        <f t="shared" si="180"/>
        <v>3.588130246940807</v>
      </c>
      <c r="AL131" s="16"/>
      <c r="AM131" s="127" t="str">
        <f t="shared" si="181"/>
        <v>NOEC</v>
      </c>
      <c r="AN131" s="128" t="s">
        <v>356</v>
      </c>
      <c r="AO131" s="129" t="str">
        <f t="shared" si="182"/>
        <v>Chronic</v>
      </c>
      <c r="AP131" s="128" t="str">
        <f t="shared" si="187"/>
        <v>y</v>
      </c>
      <c r="AQ131" s="130" t="str">
        <f t="shared" si="183"/>
        <v>Mortality (of juvenile Deleatidium sp.)</v>
      </c>
      <c r="AR131" s="128" t="s">
        <v>459</v>
      </c>
      <c r="AS131" s="131">
        <f t="shared" si="184"/>
        <v>29</v>
      </c>
      <c r="AT131" s="128" t="s">
        <v>460</v>
      </c>
      <c r="AU131" s="128"/>
      <c r="AV131" s="143">
        <f t="shared" si="185"/>
        <v>3.588130246940807</v>
      </c>
      <c r="AW131" s="144">
        <f t="shared" ref="AW131:AW132" si="188">GEOMEAN(AV131:AV131)</f>
        <v>3.588130246940807</v>
      </c>
      <c r="AX131" s="141">
        <f>MIN(AW131)</f>
        <v>3.588130246940807</v>
      </c>
      <c r="AY131" s="142">
        <f>MIN(AX131:AX131)</f>
        <v>3.588130246940807</v>
      </c>
    </row>
    <row r="132" spans="1:52" x14ac:dyDescent="0.2">
      <c r="A132" s="32" t="s">
        <v>97</v>
      </c>
      <c r="B132" s="44">
        <v>221</v>
      </c>
      <c r="C132" s="34" t="s">
        <v>24</v>
      </c>
      <c r="D132" s="35" t="s">
        <v>98</v>
      </c>
      <c r="E132" s="33" t="s">
        <v>61</v>
      </c>
      <c r="F132" s="33" t="s">
        <v>99</v>
      </c>
      <c r="G132" s="33" t="s">
        <v>93</v>
      </c>
      <c r="H132" s="33" t="s">
        <v>571</v>
      </c>
      <c r="I132" s="36" t="s">
        <v>100</v>
      </c>
      <c r="J132" s="36" t="s">
        <v>64</v>
      </c>
      <c r="K132" s="44" t="s">
        <v>101</v>
      </c>
      <c r="L132" s="36" t="s">
        <v>54</v>
      </c>
      <c r="M132" s="36">
        <v>10</v>
      </c>
      <c r="N132" s="33" t="s">
        <v>102</v>
      </c>
      <c r="O132" s="33" t="s">
        <v>33</v>
      </c>
      <c r="P132" s="45" t="s">
        <v>103</v>
      </c>
      <c r="Q132" s="44">
        <v>25</v>
      </c>
      <c r="R132" s="44">
        <v>25</v>
      </c>
      <c r="S132" s="33" t="s">
        <v>104</v>
      </c>
      <c r="T132" s="33">
        <v>8.0399999999999991</v>
      </c>
      <c r="U132" s="46">
        <v>5.8536524151080886</v>
      </c>
      <c r="V132" s="33">
        <v>2.5</v>
      </c>
      <c r="W132" s="33" t="s">
        <v>37</v>
      </c>
      <c r="X132" s="39">
        <f t="shared" ref="X132" si="189">(V132)*(U132/100)*1000</f>
        <v>146.3413103777022</v>
      </c>
      <c r="Y132" s="33">
        <v>2.5</v>
      </c>
      <c r="Z132" s="40">
        <f t="shared" si="172"/>
        <v>6.4367096033276967</v>
      </c>
      <c r="AA132" s="40">
        <f t="shared" si="186"/>
        <v>10.107969343362392</v>
      </c>
      <c r="AC132" s="16">
        <f t="shared" si="173"/>
        <v>0.4446312674691093</v>
      </c>
      <c r="AD132" s="26">
        <f t="shared" si="174"/>
        <v>2.2490546058357781</v>
      </c>
      <c r="AE132" s="51">
        <v>18</v>
      </c>
      <c r="AF132" s="85" t="str">
        <f t="shared" si="175"/>
        <v>NOEC</v>
      </c>
      <c r="AG132" s="9">
        <f t="shared" si="176"/>
        <v>1</v>
      </c>
      <c r="AH132" s="18">
        <f t="shared" si="177"/>
        <v>10.107969343362392</v>
      </c>
      <c r="AI132" s="88" t="str">
        <f t="shared" si="178"/>
        <v>Chronic</v>
      </c>
      <c r="AJ132" s="9">
        <f t="shared" si="179"/>
        <v>1</v>
      </c>
      <c r="AK132" s="18">
        <f t="shared" si="180"/>
        <v>10.107969343362392</v>
      </c>
      <c r="AL132" s="16"/>
      <c r="AM132" s="101" t="str">
        <f t="shared" si="181"/>
        <v>NOEC</v>
      </c>
      <c r="AN132" s="102" t="s">
        <v>356</v>
      </c>
      <c r="AO132" s="103" t="str">
        <f t="shared" si="182"/>
        <v>Chronic</v>
      </c>
      <c r="AP132" s="102" t="str">
        <f t="shared" si="187"/>
        <v>y</v>
      </c>
      <c r="AQ132" s="104" t="str">
        <f t="shared" si="183"/>
        <v>Reproduction (average young per replicate)</v>
      </c>
      <c r="AR132" s="102" t="s">
        <v>459</v>
      </c>
      <c r="AS132" s="105">
        <f t="shared" si="184"/>
        <v>10</v>
      </c>
      <c r="AT132" s="102" t="s">
        <v>460</v>
      </c>
      <c r="AU132" s="102"/>
      <c r="AV132" s="106">
        <f t="shared" si="185"/>
        <v>10.107969343362392</v>
      </c>
      <c r="AW132" s="107">
        <f t="shared" si="188"/>
        <v>10.107969343362392</v>
      </c>
      <c r="AX132" s="78">
        <f>MIN(AW132:AW132)</f>
        <v>10.107969343362392</v>
      </c>
      <c r="AY132" s="109">
        <f>MIN(AX132:AX132)</f>
        <v>10.107969343362392</v>
      </c>
    </row>
    <row r="133" spans="1:52" x14ac:dyDescent="0.2">
      <c r="A133" s="19" t="s">
        <v>119</v>
      </c>
      <c r="B133" s="9">
        <v>235</v>
      </c>
      <c r="C133" s="10" t="s">
        <v>24</v>
      </c>
      <c r="D133" s="11" t="s">
        <v>120</v>
      </c>
      <c r="E133" s="9" t="s">
        <v>121</v>
      </c>
      <c r="F133" s="9" t="s">
        <v>122</v>
      </c>
      <c r="G133" s="9" t="s">
        <v>52</v>
      </c>
      <c r="H133" s="9" t="s">
        <v>571</v>
      </c>
      <c r="I133" s="12" t="s">
        <v>37</v>
      </c>
      <c r="J133" s="12" t="s">
        <v>123</v>
      </c>
      <c r="K133" s="12" t="s">
        <v>123</v>
      </c>
      <c r="L133" s="12" t="s">
        <v>54</v>
      </c>
      <c r="M133" s="12">
        <v>40</v>
      </c>
      <c r="N133" s="9" t="s">
        <v>55</v>
      </c>
      <c r="O133" s="13" t="s">
        <v>33</v>
      </c>
      <c r="P133" s="14" t="s">
        <v>56</v>
      </c>
      <c r="Q133" s="9" t="s">
        <v>438</v>
      </c>
      <c r="R133" s="9">
        <v>15.3</v>
      </c>
      <c r="S133" s="9" t="s">
        <v>124</v>
      </c>
      <c r="T133" s="9">
        <v>8.1</v>
      </c>
      <c r="U133" s="9">
        <v>3.3940000000000001</v>
      </c>
      <c r="V133" s="18">
        <v>2.1</v>
      </c>
      <c r="W133" s="9">
        <v>70</v>
      </c>
      <c r="X133" s="9">
        <v>70</v>
      </c>
      <c r="Y133" s="18">
        <v>2.1</v>
      </c>
      <c r="Z133" s="15">
        <f t="shared" si="172"/>
        <v>5.9178920071141139</v>
      </c>
      <c r="AA133" s="15">
        <f t="shared" si="186"/>
        <v>4.9724111960637352</v>
      </c>
      <c r="AC133" s="16">
        <f t="shared" si="173"/>
        <v>0.38725764492161724</v>
      </c>
      <c r="AD133" s="26">
        <f t="shared" si="174"/>
        <v>2.5822601906345959</v>
      </c>
      <c r="AE133" s="51">
        <v>18</v>
      </c>
      <c r="AF133" s="85" t="str">
        <f t="shared" si="175"/>
        <v>NOEC</v>
      </c>
      <c r="AG133" s="9">
        <f t="shared" si="176"/>
        <v>1</v>
      </c>
      <c r="AH133" s="18">
        <f t="shared" si="177"/>
        <v>4.9724111960637352</v>
      </c>
      <c r="AI133" s="88" t="str">
        <f t="shared" si="178"/>
        <v>Chronic</v>
      </c>
      <c r="AJ133" s="9">
        <f t="shared" si="179"/>
        <v>1</v>
      </c>
      <c r="AK133" s="18">
        <f t="shared" si="180"/>
        <v>4.9724111960637352</v>
      </c>
      <c r="AL133" s="16"/>
      <c r="AM133" s="127" t="str">
        <f t="shared" si="181"/>
        <v>NOEC</v>
      </c>
      <c r="AN133" s="128" t="s">
        <v>356</v>
      </c>
      <c r="AO133" s="129" t="str">
        <f t="shared" si="182"/>
        <v>Chronic</v>
      </c>
      <c r="AP133" s="128" t="str">
        <f t="shared" si="187"/>
        <v>y</v>
      </c>
      <c r="AQ133" s="130" t="str">
        <f t="shared" si="183"/>
        <v>Immobility</v>
      </c>
      <c r="AR133" s="128" t="s">
        <v>459</v>
      </c>
      <c r="AS133" s="131">
        <f t="shared" si="184"/>
        <v>40</v>
      </c>
      <c r="AT133" s="128" t="s">
        <v>460</v>
      </c>
      <c r="AU133" s="128"/>
      <c r="AV133" s="143">
        <f>AK133</f>
        <v>4.9724111960637352</v>
      </c>
      <c r="AW133" s="144">
        <f>GEOMEAN(AV133:AV133)</f>
        <v>4.9724111960637352</v>
      </c>
      <c r="AX133" s="148">
        <f>MIN(AW133)</f>
        <v>4.9724111960637352</v>
      </c>
      <c r="AY133" s="149">
        <f>MIN(AX133)</f>
        <v>4.9724111960637352</v>
      </c>
    </row>
    <row r="134" spans="1:52" x14ac:dyDescent="0.2">
      <c r="A134" s="32" t="s">
        <v>132</v>
      </c>
      <c r="B134" s="33">
        <v>254</v>
      </c>
      <c r="C134" s="34" t="s">
        <v>24</v>
      </c>
      <c r="D134" s="35" t="s">
        <v>126</v>
      </c>
      <c r="E134" s="33" t="s">
        <v>121</v>
      </c>
      <c r="F134" s="33" t="s">
        <v>127</v>
      </c>
      <c r="G134" s="33" t="s">
        <v>52</v>
      </c>
      <c r="H134" s="33" t="s">
        <v>571</v>
      </c>
      <c r="I134" s="36" t="s">
        <v>128</v>
      </c>
      <c r="J134" s="36" t="s">
        <v>53</v>
      </c>
      <c r="K134" s="36" t="s">
        <v>53</v>
      </c>
      <c r="L134" s="36" t="s">
        <v>133</v>
      </c>
      <c r="M134" s="36">
        <v>28</v>
      </c>
      <c r="N134" s="33" t="s">
        <v>55</v>
      </c>
      <c r="O134" s="37" t="s">
        <v>33</v>
      </c>
      <c r="P134" s="38" t="s">
        <v>129</v>
      </c>
      <c r="Q134" s="33" t="s">
        <v>130</v>
      </c>
      <c r="R134" s="33">
        <v>20</v>
      </c>
      <c r="S134" s="33" t="s">
        <v>131</v>
      </c>
      <c r="T134" s="33">
        <v>8.1999999999999993</v>
      </c>
      <c r="U134" s="33">
        <v>5.9020000000000001</v>
      </c>
      <c r="V134" s="33" t="s">
        <v>134</v>
      </c>
      <c r="W134" s="33" t="s">
        <v>37</v>
      </c>
      <c r="X134" s="33">
        <v>7.67</v>
      </c>
      <c r="Y134" s="33">
        <v>0.13</v>
      </c>
      <c r="Z134" s="40">
        <f t="shared" si="172"/>
        <v>0.4284575216169903</v>
      </c>
      <c r="AA134" s="40">
        <f t="shared" si="186"/>
        <v>0.48742496740777053</v>
      </c>
      <c r="AB134" t="s">
        <v>577</v>
      </c>
      <c r="AC134" s="16">
        <f t="shared" si="173"/>
        <v>0.30760968147407108</v>
      </c>
      <c r="AD134" s="26">
        <f t="shared" si="174"/>
        <v>3.2508729738543409</v>
      </c>
      <c r="AE134" s="51">
        <v>18</v>
      </c>
      <c r="AF134" s="85" t="str">
        <f t="shared" si="175"/>
        <v>IC10</v>
      </c>
      <c r="AG134" s="9">
        <f t="shared" si="176"/>
        <v>1</v>
      </c>
      <c r="AH134" s="18">
        <f t="shared" si="177"/>
        <v>0.48742496740777053</v>
      </c>
      <c r="AI134" s="88" t="str">
        <f t="shared" si="178"/>
        <v>Chronic</v>
      </c>
      <c r="AJ134" s="9">
        <f t="shared" si="179"/>
        <v>1</v>
      </c>
      <c r="AK134" s="18">
        <f t="shared" si="180"/>
        <v>0.48742496740777053</v>
      </c>
      <c r="AL134" s="16"/>
      <c r="AM134" s="132" t="str">
        <f t="shared" si="181"/>
        <v>IC10</v>
      </c>
      <c r="AN134" s="67" t="s">
        <v>356</v>
      </c>
      <c r="AO134" s="88" t="str">
        <f t="shared" si="182"/>
        <v>Chronic</v>
      </c>
      <c r="AP134" s="67" t="str">
        <f t="shared" si="187"/>
        <v>y</v>
      </c>
      <c r="AQ134" s="69" t="str">
        <f t="shared" si="183"/>
        <v>Mortality</v>
      </c>
      <c r="AR134" s="67" t="s">
        <v>459</v>
      </c>
      <c r="AS134" s="70">
        <f t="shared" si="184"/>
        <v>28</v>
      </c>
      <c r="AT134" s="67" t="s">
        <v>460</v>
      </c>
      <c r="AU134" s="67"/>
      <c r="AV134" s="151">
        <f>AK134</f>
        <v>0.48742496740777053</v>
      </c>
      <c r="AW134" s="95">
        <f>GEOMEAN(AV134:AV134)</f>
        <v>0.48742496740777053</v>
      </c>
      <c r="AX134" s="96">
        <f>MIN(AW134)</f>
        <v>0.48742496740777053</v>
      </c>
      <c r="AY134" s="153">
        <f>MIN(AX134)</f>
        <v>0.48742496740777053</v>
      </c>
    </row>
    <row r="135" spans="1:52" x14ac:dyDescent="0.2">
      <c r="A135" s="19" t="s">
        <v>144</v>
      </c>
      <c r="B135" s="9">
        <v>253</v>
      </c>
      <c r="C135" s="10" t="s">
        <v>24</v>
      </c>
      <c r="D135" s="11" t="s">
        <v>139</v>
      </c>
      <c r="E135" s="9" t="s">
        <v>121</v>
      </c>
      <c r="F135" s="9" t="s">
        <v>127</v>
      </c>
      <c r="G135" s="9" t="s">
        <v>52</v>
      </c>
      <c r="H135" s="9" t="s">
        <v>571</v>
      </c>
      <c r="I135" s="12" t="s">
        <v>140</v>
      </c>
      <c r="J135" s="12" t="s">
        <v>53</v>
      </c>
      <c r="K135" s="12" t="s">
        <v>53</v>
      </c>
      <c r="L135" s="12" t="s">
        <v>31</v>
      </c>
      <c r="M135" s="12">
        <v>28</v>
      </c>
      <c r="N135" s="9" t="s">
        <v>55</v>
      </c>
      <c r="O135" s="13" t="s">
        <v>33</v>
      </c>
      <c r="P135" s="14" t="s">
        <v>141</v>
      </c>
      <c r="Q135" s="9">
        <v>20</v>
      </c>
      <c r="R135" s="9">
        <v>20</v>
      </c>
      <c r="S135" s="9" t="s">
        <v>142</v>
      </c>
      <c r="T135" s="9">
        <v>8.26</v>
      </c>
      <c r="U135" s="9">
        <v>6.718</v>
      </c>
      <c r="V135" s="9">
        <v>0.54</v>
      </c>
      <c r="W135" s="9" t="s">
        <v>37</v>
      </c>
      <c r="X135" s="9">
        <v>36.299999999999997</v>
      </c>
      <c r="Y135" s="9">
        <v>0.54</v>
      </c>
      <c r="Z135" s="15">
        <f t="shared" si="172"/>
        <v>1.9610361754850452</v>
      </c>
      <c r="AA135" s="15">
        <f t="shared" si="186"/>
        <v>2.230928261718613</v>
      </c>
      <c r="AC135" s="16">
        <f t="shared" si="173"/>
        <v>0.26791683248190312</v>
      </c>
      <c r="AD135" s="26">
        <f t="shared" si="174"/>
        <v>3.7325015779572066</v>
      </c>
      <c r="AE135" s="51">
        <v>18</v>
      </c>
      <c r="AF135" s="85" t="str">
        <f t="shared" si="175"/>
        <v>EC10</v>
      </c>
      <c r="AG135" s="9">
        <f t="shared" si="176"/>
        <v>1</v>
      </c>
      <c r="AH135" s="18">
        <f t="shared" si="177"/>
        <v>2.230928261718613</v>
      </c>
      <c r="AI135" s="88" t="str">
        <f t="shared" si="178"/>
        <v>Chronic</v>
      </c>
      <c r="AJ135" s="9">
        <f t="shared" si="179"/>
        <v>1</v>
      </c>
      <c r="AK135" s="18">
        <f t="shared" si="180"/>
        <v>2.230928261718613</v>
      </c>
      <c r="AM135" s="101" t="str">
        <f t="shared" si="181"/>
        <v>EC10</v>
      </c>
      <c r="AN135" s="102" t="s">
        <v>356</v>
      </c>
      <c r="AO135" s="103" t="str">
        <f t="shared" si="182"/>
        <v>Chronic</v>
      </c>
      <c r="AP135" s="102" t="str">
        <f t="shared" si="187"/>
        <v>y</v>
      </c>
      <c r="AQ135" s="104" t="str">
        <f t="shared" si="183"/>
        <v>Mortality</v>
      </c>
      <c r="AR135" s="196" t="s">
        <v>459</v>
      </c>
      <c r="AS135" s="105">
        <f t="shared" si="184"/>
        <v>28</v>
      </c>
      <c r="AT135" s="158" t="s">
        <v>460</v>
      </c>
      <c r="AU135" s="197"/>
      <c r="AV135" s="154">
        <f t="shared" ref="AV135:AV138" si="190">AK135</f>
        <v>2.230928261718613</v>
      </c>
      <c r="AW135" s="155"/>
      <c r="AX135" s="197"/>
      <c r="AY135" s="198"/>
    </row>
    <row r="136" spans="1:52" x14ac:dyDescent="0.2">
      <c r="A136" s="19" t="s">
        <v>146</v>
      </c>
      <c r="B136" s="9">
        <v>254</v>
      </c>
      <c r="C136" s="10" t="s">
        <v>24</v>
      </c>
      <c r="D136" s="11" t="s">
        <v>139</v>
      </c>
      <c r="E136" s="9" t="s">
        <v>121</v>
      </c>
      <c r="F136" s="9" t="s">
        <v>127</v>
      </c>
      <c r="G136" s="9" t="s">
        <v>52</v>
      </c>
      <c r="H136" s="9" t="s">
        <v>571</v>
      </c>
      <c r="I136" s="12" t="s">
        <v>140</v>
      </c>
      <c r="J136" s="12" t="s">
        <v>53</v>
      </c>
      <c r="K136" s="12" t="s">
        <v>53</v>
      </c>
      <c r="L136" s="12" t="s">
        <v>133</v>
      </c>
      <c r="M136" s="12">
        <v>28</v>
      </c>
      <c r="N136" s="9" t="s">
        <v>55</v>
      </c>
      <c r="O136" s="13" t="s">
        <v>33</v>
      </c>
      <c r="P136" s="14" t="s">
        <v>129</v>
      </c>
      <c r="Q136" s="9" t="s">
        <v>130</v>
      </c>
      <c r="R136" s="9">
        <v>20</v>
      </c>
      <c r="S136" s="9" t="s">
        <v>131</v>
      </c>
      <c r="T136" s="9">
        <v>8.1999999999999993</v>
      </c>
      <c r="U136" s="9">
        <v>5.9020000000000001</v>
      </c>
      <c r="V136" s="9" t="s">
        <v>134</v>
      </c>
      <c r="W136" s="9" t="s">
        <v>37</v>
      </c>
      <c r="X136" s="9">
        <v>7.67</v>
      </c>
      <c r="Y136" s="9">
        <v>0.13</v>
      </c>
      <c r="Z136" s="15">
        <f t="shared" si="172"/>
        <v>0.4284575216169903</v>
      </c>
      <c r="AA136" s="15">
        <f t="shared" si="186"/>
        <v>0.48742496740777053</v>
      </c>
      <c r="AB136" t="s">
        <v>577</v>
      </c>
      <c r="AC136" s="16">
        <f t="shared" si="173"/>
        <v>0.30760968147407108</v>
      </c>
      <c r="AD136" s="26">
        <f t="shared" si="174"/>
        <v>3.2508729738543409</v>
      </c>
      <c r="AE136" s="51">
        <v>18</v>
      </c>
      <c r="AF136" s="85" t="str">
        <f t="shared" si="175"/>
        <v>IC10</v>
      </c>
      <c r="AG136" s="9">
        <f t="shared" si="176"/>
        <v>1</v>
      </c>
      <c r="AH136" s="18">
        <f t="shared" si="177"/>
        <v>0.48742496740777053</v>
      </c>
      <c r="AI136" s="88" t="str">
        <f t="shared" si="178"/>
        <v>Chronic</v>
      </c>
      <c r="AJ136" s="9">
        <f t="shared" si="179"/>
        <v>1</v>
      </c>
      <c r="AK136" s="18">
        <f t="shared" si="180"/>
        <v>0.48742496740777053</v>
      </c>
      <c r="AL136" s="16"/>
      <c r="AM136" s="110" t="str">
        <f t="shared" si="181"/>
        <v>IC10</v>
      </c>
      <c r="AN136" s="111" t="s">
        <v>356</v>
      </c>
      <c r="AO136" s="112" t="str">
        <f t="shared" si="182"/>
        <v>Chronic</v>
      </c>
      <c r="AP136" s="111" t="str">
        <f t="shared" si="187"/>
        <v>y</v>
      </c>
      <c r="AQ136" s="134" t="str">
        <f t="shared" si="183"/>
        <v>Mortality</v>
      </c>
      <c r="AR136" s="199" t="s">
        <v>459</v>
      </c>
      <c r="AS136" s="114">
        <f t="shared" si="184"/>
        <v>28</v>
      </c>
      <c r="AT136" s="199" t="s">
        <v>460</v>
      </c>
      <c r="AU136" s="200"/>
      <c r="AV136" s="152">
        <f t="shared" si="190"/>
        <v>0.48742496740777053</v>
      </c>
      <c r="AW136" s="140">
        <f>GEOMEAN(AV135:AV136)</f>
        <v>1.0427895929943245</v>
      </c>
      <c r="AX136" s="141">
        <f>MIN(AW136)</f>
        <v>1.0427895929943245</v>
      </c>
      <c r="AY136" s="142">
        <f>MIN(AX136:AX136)</f>
        <v>1.0427895929943245</v>
      </c>
    </row>
    <row r="137" spans="1:52" x14ac:dyDescent="0.2">
      <c r="A137" s="32" t="s">
        <v>148</v>
      </c>
      <c r="B137" s="33">
        <v>256</v>
      </c>
      <c r="C137" s="38" t="s">
        <v>24</v>
      </c>
      <c r="D137" s="35" t="s">
        <v>149</v>
      </c>
      <c r="E137" s="33" t="s">
        <v>121</v>
      </c>
      <c r="F137" s="33" t="s">
        <v>127</v>
      </c>
      <c r="G137" s="33" t="s">
        <v>52</v>
      </c>
      <c r="H137" s="33" t="s">
        <v>571</v>
      </c>
      <c r="I137" s="33" t="s">
        <v>37</v>
      </c>
      <c r="J137" s="36" t="s">
        <v>53</v>
      </c>
      <c r="K137" s="36" t="s">
        <v>53</v>
      </c>
      <c r="L137" s="36" t="s">
        <v>54</v>
      </c>
      <c r="M137" s="36">
        <v>6</v>
      </c>
      <c r="N137" s="33" t="s">
        <v>102</v>
      </c>
      <c r="O137" s="37" t="s">
        <v>33</v>
      </c>
      <c r="P137" s="38" t="s">
        <v>150</v>
      </c>
      <c r="Q137" s="33" t="s">
        <v>151</v>
      </c>
      <c r="R137" s="33">
        <v>21.8</v>
      </c>
      <c r="S137" s="33" t="s">
        <v>152</v>
      </c>
      <c r="T137" s="33">
        <v>7.8</v>
      </c>
      <c r="U137" s="33">
        <v>2.7679999999999998</v>
      </c>
      <c r="V137" s="33" t="s">
        <v>37</v>
      </c>
      <c r="W137" s="33">
        <v>30</v>
      </c>
      <c r="X137" s="33">
        <v>30</v>
      </c>
      <c r="Y137" s="40">
        <f t="shared" ref="Y137" si="191">X137/((U137/100)*1000)</f>
        <v>1.0838150289017343</v>
      </c>
      <c r="Z137" s="40">
        <f t="shared" si="172"/>
        <v>2.0127302212112239</v>
      </c>
      <c r="AA137" s="40">
        <f t="shared" si="186"/>
        <v>2.5714943094376155</v>
      </c>
      <c r="AB137" s="16"/>
      <c r="AC137" s="16">
        <f t="shared" si="173"/>
        <v>0.77268058509570214</v>
      </c>
      <c r="AD137" s="26">
        <f t="shared" si="174"/>
        <v>1.2941958414499863</v>
      </c>
      <c r="AE137" s="51">
        <v>18</v>
      </c>
      <c r="AF137" s="85" t="str">
        <f t="shared" si="175"/>
        <v>NOEC</v>
      </c>
      <c r="AG137" s="9">
        <f t="shared" si="176"/>
        <v>1</v>
      </c>
      <c r="AH137" s="18">
        <f t="shared" si="177"/>
        <v>2.5714943094376155</v>
      </c>
      <c r="AI137" s="88" t="str">
        <f t="shared" si="178"/>
        <v>Chronic</v>
      </c>
      <c r="AJ137" s="9">
        <f t="shared" si="179"/>
        <v>1</v>
      </c>
      <c r="AK137" s="18">
        <f t="shared" si="180"/>
        <v>2.5714943094376155</v>
      </c>
      <c r="AL137" s="16"/>
      <c r="AM137" s="101" t="str">
        <f t="shared" si="181"/>
        <v>NOEC</v>
      </c>
      <c r="AN137" s="102" t="s">
        <v>356</v>
      </c>
      <c r="AO137" s="103" t="str">
        <f t="shared" si="182"/>
        <v>Chronic</v>
      </c>
      <c r="AP137" s="102" t="str">
        <f t="shared" si="187"/>
        <v>y</v>
      </c>
      <c r="AQ137" s="104" t="str">
        <f t="shared" si="183"/>
        <v>Mortality</v>
      </c>
      <c r="AR137" s="102" t="s">
        <v>459</v>
      </c>
      <c r="AS137" s="105">
        <f t="shared" si="184"/>
        <v>6</v>
      </c>
      <c r="AT137" s="102" t="s">
        <v>460</v>
      </c>
      <c r="AU137" s="102"/>
      <c r="AV137" s="154">
        <f t="shared" si="190"/>
        <v>2.5714943094376155</v>
      </c>
      <c r="AW137" s="118">
        <f>GEOMEAN(AV137)</f>
        <v>2.5714943094376155</v>
      </c>
      <c r="AX137" s="119">
        <f>MIN(AW137:AW137)</f>
        <v>2.5714943094376155</v>
      </c>
      <c r="AY137" s="126">
        <f>MIN(AX137)</f>
        <v>2.5714943094376155</v>
      </c>
    </row>
    <row r="138" spans="1:52" x14ac:dyDescent="0.2">
      <c r="A138" s="8" t="s">
        <v>168</v>
      </c>
      <c r="B138" s="9">
        <v>242</v>
      </c>
      <c r="C138" s="10" t="s">
        <v>24</v>
      </c>
      <c r="D138" s="11" t="s">
        <v>155</v>
      </c>
      <c r="E138" s="9" t="s">
        <v>121</v>
      </c>
      <c r="F138" s="9" t="s">
        <v>127</v>
      </c>
      <c r="G138" s="9" t="s">
        <v>52</v>
      </c>
      <c r="H138" s="9" t="s">
        <v>571</v>
      </c>
      <c r="I138" s="12" t="s">
        <v>156</v>
      </c>
      <c r="J138" s="12" t="s">
        <v>136</v>
      </c>
      <c r="K138" s="12" t="s">
        <v>169</v>
      </c>
      <c r="L138" s="12" t="s">
        <v>54</v>
      </c>
      <c r="M138" s="12">
        <v>60</v>
      </c>
      <c r="N138" s="9" t="s">
        <v>55</v>
      </c>
      <c r="O138" s="13" t="s">
        <v>33</v>
      </c>
      <c r="P138" s="14" t="s">
        <v>157</v>
      </c>
      <c r="Q138" s="9">
        <v>20</v>
      </c>
      <c r="R138" s="9">
        <v>20</v>
      </c>
      <c r="S138" s="28" t="s">
        <v>158</v>
      </c>
      <c r="T138" s="28">
        <v>7.73</v>
      </c>
      <c r="U138" s="26" t="s">
        <v>170</v>
      </c>
      <c r="V138" s="9">
        <v>0.65</v>
      </c>
      <c r="W138" s="9">
        <v>12</v>
      </c>
      <c r="X138" s="9">
        <v>12</v>
      </c>
      <c r="Y138" s="9">
        <v>0.65</v>
      </c>
      <c r="Z138" s="15">
        <f t="shared" si="172"/>
        <v>1.1105489745328638</v>
      </c>
      <c r="AA138" s="15">
        <f t="shared" si="186"/>
        <v>1.2633908156718163</v>
      </c>
      <c r="AC138" s="16">
        <f t="shared" si="173"/>
        <v>0.90782053017818432</v>
      </c>
      <c r="AD138" s="26">
        <f t="shared" si="174"/>
        <v>1.1015393095414168</v>
      </c>
      <c r="AE138" s="51">
        <v>18</v>
      </c>
      <c r="AF138" s="85" t="str">
        <f t="shared" si="175"/>
        <v>NOEC</v>
      </c>
      <c r="AG138" s="9">
        <f t="shared" si="176"/>
        <v>1</v>
      </c>
      <c r="AH138" s="18">
        <f t="shared" si="177"/>
        <v>1.2633908156718163</v>
      </c>
      <c r="AI138" s="88" t="str">
        <f t="shared" si="178"/>
        <v>Chronic</v>
      </c>
      <c r="AJ138" s="9">
        <f t="shared" si="179"/>
        <v>1</v>
      </c>
      <c r="AK138" s="18">
        <f t="shared" si="180"/>
        <v>1.2633908156718163</v>
      </c>
      <c r="AL138" s="16"/>
      <c r="AM138" s="110" t="str">
        <f t="shared" si="181"/>
        <v>NOEC</v>
      </c>
      <c r="AN138" s="111" t="s">
        <v>356</v>
      </c>
      <c r="AO138" s="112" t="str">
        <f t="shared" si="182"/>
        <v>Chronic</v>
      </c>
      <c r="AP138" s="111" t="str">
        <f t="shared" si="187"/>
        <v>y</v>
      </c>
      <c r="AQ138" s="134" t="str">
        <f t="shared" si="183"/>
        <v>Length</v>
      </c>
      <c r="AR138" s="111" t="s">
        <v>475</v>
      </c>
      <c r="AS138" s="114">
        <f t="shared" si="184"/>
        <v>60</v>
      </c>
      <c r="AT138" s="111" t="s">
        <v>476</v>
      </c>
      <c r="AU138" s="111"/>
      <c r="AV138" s="152">
        <f t="shared" si="190"/>
        <v>1.2633908156718163</v>
      </c>
      <c r="AW138" s="140">
        <f>GEOMEAN(AV138)</f>
        <v>1.2633908156718163</v>
      </c>
      <c r="AX138" s="141">
        <f>MIN(AW138)</f>
        <v>1.2633908156718163</v>
      </c>
      <c r="AY138" s="142">
        <f>MIN(AX138:AX138)</f>
        <v>1.2633908156718163</v>
      </c>
    </row>
    <row r="139" spans="1:52" x14ac:dyDescent="0.2">
      <c r="A139" s="32" t="s">
        <v>176</v>
      </c>
      <c r="B139" s="33">
        <v>254</v>
      </c>
      <c r="C139" s="34" t="s">
        <v>24</v>
      </c>
      <c r="D139" s="35" t="s">
        <v>172</v>
      </c>
      <c r="E139" s="33" t="s">
        <v>121</v>
      </c>
      <c r="F139" s="33" t="s">
        <v>127</v>
      </c>
      <c r="G139" s="33" t="s">
        <v>52</v>
      </c>
      <c r="H139" s="33" t="s">
        <v>571</v>
      </c>
      <c r="I139" s="36" t="s">
        <v>128</v>
      </c>
      <c r="J139" s="36" t="s">
        <v>177</v>
      </c>
      <c r="K139" s="36" t="s">
        <v>137</v>
      </c>
      <c r="L139" s="36" t="s">
        <v>133</v>
      </c>
      <c r="M139" s="36">
        <v>28</v>
      </c>
      <c r="N139" s="33" t="s">
        <v>55</v>
      </c>
      <c r="O139" s="37" t="s">
        <v>33</v>
      </c>
      <c r="P139" s="38" t="s">
        <v>129</v>
      </c>
      <c r="Q139" s="33" t="s">
        <v>130</v>
      </c>
      <c r="R139" s="33">
        <v>20</v>
      </c>
      <c r="S139" s="33" t="s">
        <v>131</v>
      </c>
      <c r="T139" s="33">
        <v>8.1999999999999993</v>
      </c>
      <c r="U139" s="33">
        <v>5.9020000000000001</v>
      </c>
      <c r="V139" s="33" t="s">
        <v>175</v>
      </c>
      <c r="W139" s="33" t="s">
        <v>37</v>
      </c>
      <c r="X139" s="33">
        <v>23.6</v>
      </c>
      <c r="Y139" s="33">
        <v>0.4</v>
      </c>
      <c r="Z139" s="40">
        <f t="shared" si="172"/>
        <v>1.3183308357445855</v>
      </c>
      <c r="AA139" s="40">
        <f t="shared" si="186"/>
        <v>1.4997691304854481</v>
      </c>
      <c r="AB139" t="s">
        <v>577</v>
      </c>
      <c r="AC139" s="16">
        <f t="shared" si="173"/>
        <v>0.30760968147407108</v>
      </c>
      <c r="AD139" s="26">
        <f t="shared" si="174"/>
        <v>3.2508729738543409</v>
      </c>
      <c r="AE139" s="51">
        <v>18</v>
      </c>
      <c r="AF139" s="85" t="str">
        <f t="shared" si="175"/>
        <v>IC10</v>
      </c>
      <c r="AG139" s="9">
        <f t="shared" si="176"/>
        <v>1</v>
      </c>
      <c r="AH139" s="18">
        <f t="shared" si="177"/>
        <v>1.4997691304854481</v>
      </c>
      <c r="AI139" s="88" t="str">
        <f t="shared" si="178"/>
        <v>Chronic</v>
      </c>
      <c r="AJ139" s="9">
        <f t="shared" si="179"/>
        <v>1</v>
      </c>
      <c r="AK139" s="18">
        <f t="shared" si="180"/>
        <v>1.4997691304854481</v>
      </c>
      <c r="AL139" s="16"/>
      <c r="AM139" s="110" t="str">
        <f t="shared" si="181"/>
        <v>IC10</v>
      </c>
      <c r="AN139" s="111" t="s">
        <v>356</v>
      </c>
      <c r="AO139" s="112" t="str">
        <f t="shared" si="182"/>
        <v>Chronic</v>
      </c>
      <c r="AP139" s="111" t="str">
        <f t="shared" si="187"/>
        <v>y</v>
      </c>
      <c r="AQ139" s="134" t="str">
        <f t="shared" si="183"/>
        <v>Shell length</v>
      </c>
      <c r="AR139" s="111" t="s">
        <v>473</v>
      </c>
      <c r="AS139" s="114">
        <f t="shared" si="184"/>
        <v>28</v>
      </c>
      <c r="AT139" s="111" t="s">
        <v>474</v>
      </c>
      <c r="AU139" s="111"/>
      <c r="AV139" s="152">
        <f>AK139</f>
        <v>1.4997691304854481</v>
      </c>
      <c r="AW139" s="140">
        <f>GEOMEAN(AV139)</f>
        <v>1.4997691304854481</v>
      </c>
      <c r="AX139" s="141">
        <f>MIN(AW139)</f>
        <v>1.4997691304854481</v>
      </c>
      <c r="AY139" s="142">
        <f>MIN(AX139:AX139)</f>
        <v>1.4997691304854481</v>
      </c>
    </row>
    <row r="140" spans="1:52" x14ac:dyDescent="0.2">
      <c r="A140" s="193" t="s">
        <v>607</v>
      </c>
    </row>
    <row r="141" spans="1:52" x14ac:dyDescent="0.2">
      <c r="A141" s="32" t="s">
        <v>48</v>
      </c>
      <c r="B141" s="33">
        <v>236</v>
      </c>
      <c r="C141" s="34" t="s">
        <v>24</v>
      </c>
      <c r="D141" s="35" t="s">
        <v>49</v>
      </c>
      <c r="E141" s="33" t="s">
        <v>50</v>
      </c>
      <c r="F141" s="33" t="s">
        <v>51</v>
      </c>
      <c r="G141" s="33" t="s">
        <v>52</v>
      </c>
      <c r="H141" s="33" t="s">
        <v>571</v>
      </c>
      <c r="I141" s="36" t="s">
        <v>37</v>
      </c>
      <c r="J141" s="36" t="s">
        <v>53</v>
      </c>
      <c r="K141" s="36" t="s">
        <v>53</v>
      </c>
      <c r="L141" s="36" t="s">
        <v>54</v>
      </c>
      <c r="M141" s="36">
        <v>30</v>
      </c>
      <c r="N141" s="33" t="s">
        <v>55</v>
      </c>
      <c r="O141" s="37" t="s">
        <v>33</v>
      </c>
      <c r="P141" s="38" t="s">
        <v>56</v>
      </c>
      <c r="Q141" s="33" t="s">
        <v>57</v>
      </c>
      <c r="R141" s="40">
        <v>15.1</v>
      </c>
      <c r="S141" s="33" t="s">
        <v>58</v>
      </c>
      <c r="T141" s="33">
        <v>8.11</v>
      </c>
      <c r="U141" s="33">
        <v>3.42</v>
      </c>
      <c r="V141" s="33" t="s">
        <v>37</v>
      </c>
      <c r="W141" s="33">
        <v>20</v>
      </c>
      <c r="X141" s="40">
        <v>20</v>
      </c>
      <c r="Y141" s="40">
        <f t="shared" ref="Y141:Y145" si="192">X141/((U141/100)*1000)</f>
        <v>0.58479532163742687</v>
      </c>
      <c r="Z141" s="40">
        <f t="shared" ref="Z141:Z154" si="193">Y141/((0.0278/(1+AC141))+(1.1994/(1+AD141)))</f>
        <v>1.6734482467670493</v>
      </c>
      <c r="AA141" s="40">
        <f>POWER(10,LOG(Z141)-(-0.028*(R141-AE141)))</f>
        <v>1.3014044453436198</v>
      </c>
      <c r="AC141" s="16">
        <f t="shared" ref="AC141:AC154" si="194">POWER(10,7.688-T141)</f>
        <v>0.37844258471709358</v>
      </c>
      <c r="AD141" s="26">
        <f t="shared" ref="AD141:AD154" si="195">POWER(10,T141-7.688)</f>
        <v>2.6424087573219448</v>
      </c>
      <c r="AE141" s="51">
        <v>19</v>
      </c>
      <c r="AF141" s="85" t="str">
        <f t="shared" ref="AF141:AF154" si="196">L141</f>
        <v>NOEC</v>
      </c>
      <c r="AG141" s="9">
        <f t="shared" ref="AG141:AG154" si="197">VLOOKUP(AF141,$BD$6:$BE$17,2,FALSE)</f>
        <v>1</v>
      </c>
      <c r="AH141" s="18">
        <f t="shared" ref="AH141:AH154" si="198">AA141/AG141</f>
        <v>1.3014044453436198</v>
      </c>
      <c r="AI141" s="88" t="str">
        <f t="shared" ref="AI141:AI154" si="199">O141</f>
        <v>Chronic</v>
      </c>
      <c r="AJ141" s="9">
        <f t="shared" ref="AJ141:AJ154" si="200">VLOOKUP(AI141,$BD$19:$BF$20,2,FALSE)</f>
        <v>1</v>
      </c>
      <c r="AK141" s="18">
        <f t="shared" ref="AK141:AK154" si="201">AH141/AJ141</f>
        <v>1.3014044453436198</v>
      </c>
      <c r="AL141" s="16"/>
      <c r="AM141" s="127" t="str">
        <f t="shared" ref="AM141:AM154" si="202">L141</f>
        <v>NOEC</v>
      </c>
      <c r="AN141" s="128" t="s">
        <v>356</v>
      </c>
      <c r="AO141" s="129" t="str">
        <f t="shared" ref="AO141:AO154" si="203">O141</f>
        <v>Chronic</v>
      </c>
      <c r="AP141" s="128" t="str">
        <f>IF(AO141="chronic","y","n")</f>
        <v>y</v>
      </c>
      <c r="AQ141" s="130" t="str">
        <f t="shared" ref="AQ141:AQ154" si="204">K141</f>
        <v>Mortality</v>
      </c>
      <c r="AR141" s="128" t="s">
        <v>459</v>
      </c>
      <c r="AS141" s="131">
        <f t="shared" ref="AS141:AS154" si="205">M141</f>
        <v>30</v>
      </c>
      <c r="AT141" s="128" t="s">
        <v>460</v>
      </c>
      <c r="AU141" s="128"/>
      <c r="AV141" s="189">
        <f t="shared" ref="AV141:AV147" si="206">AK141</f>
        <v>1.3014044453436198</v>
      </c>
      <c r="AW141" s="144">
        <f>GEOMEAN(AV141)</f>
        <v>1.3014044453436198</v>
      </c>
      <c r="AX141" s="148">
        <f>MIN(AW141)</f>
        <v>1.3014044453436198</v>
      </c>
      <c r="AY141" s="149">
        <f>MIN(AX141)</f>
        <v>1.3014044453436198</v>
      </c>
      <c r="AZ141" s="206" t="str">
        <f>A140</f>
        <v>19°C</v>
      </c>
    </row>
    <row r="142" spans="1:52" x14ac:dyDescent="0.2">
      <c r="A142" s="19" t="s">
        <v>59</v>
      </c>
      <c r="B142" s="9">
        <v>245</v>
      </c>
      <c r="C142" s="10" t="s">
        <v>24</v>
      </c>
      <c r="D142" s="11" t="s">
        <v>60</v>
      </c>
      <c r="E142" s="20" t="s">
        <v>61</v>
      </c>
      <c r="F142" s="9" t="s">
        <v>62</v>
      </c>
      <c r="G142" s="9" t="s">
        <v>52</v>
      </c>
      <c r="H142" s="9" t="s">
        <v>571</v>
      </c>
      <c r="I142" s="12" t="s">
        <v>63</v>
      </c>
      <c r="J142" s="12" t="s">
        <v>64</v>
      </c>
      <c r="K142" s="12" t="s">
        <v>64</v>
      </c>
      <c r="L142" s="12" t="s">
        <v>54</v>
      </c>
      <c r="M142" s="12">
        <v>7</v>
      </c>
      <c r="N142" s="9" t="s">
        <v>55</v>
      </c>
      <c r="O142" s="21" t="s">
        <v>33</v>
      </c>
      <c r="P142" s="14" t="s">
        <v>65</v>
      </c>
      <c r="Q142" s="9">
        <v>25</v>
      </c>
      <c r="R142" s="9">
        <v>25</v>
      </c>
      <c r="S142" s="22">
        <v>8</v>
      </c>
      <c r="T142" s="22">
        <v>8</v>
      </c>
      <c r="U142" s="20">
        <v>5.3659999999999997</v>
      </c>
      <c r="V142" s="20" t="s">
        <v>37</v>
      </c>
      <c r="W142" s="20">
        <v>680</v>
      </c>
      <c r="X142" s="9">
        <v>680</v>
      </c>
      <c r="Y142" s="27">
        <f t="shared" si="192"/>
        <v>12.672381662318301</v>
      </c>
      <c r="Z142" s="15">
        <f t="shared" si="193"/>
        <v>30.774279778328605</v>
      </c>
      <c r="AA142" s="15">
        <f t="shared" ref="AA142:AA154" si="207">POWER(10,LOG(Z142)-(-0.028*(R142-AE142)))</f>
        <v>45.309356870995593</v>
      </c>
      <c r="AC142" s="16">
        <f t="shared" si="194"/>
        <v>0.48752849010338595</v>
      </c>
      <c r="AD142" s="26">
        <f t="shared" si="195"/>
        <v>2.051162178825567</v>
      </c>
      <c r="AE142" s="51">
        <v>19</v>
      </c>
      <c r="AF142" s="85" t="str">
        <f t="shared" si="196"/>
        <v>NOEC</v>
      </c>
      <c r="AG142" s="9">
        <f t="shared" si="197"/>
        <v>1</v>
      </c>
      <c r="AH142" s="18">
        <f t="shared" si="198"/>
        <v>45.309356870995593</v>
      </c>
      <c r="AI142" s="88" t="str">
        <f t="shared" si="199"/>
        <v>Chronic</v>
      </c>
      <c r="AJ142" s="9">
        <f t="shared" si="200"/>
        <v>1</v>
      </c>
      <c r="AK142" s="18">
        <f t="shared" si="201"/>
        <v>45.309356870995593</v>
      </c>
      <c r="AL142" s="16"/>
      <c r="AM142" s="101" t="str">
        <f t="shared" si="202"/>
        <v>NOEC</v>
      </c>
      <c r="AN142" s="102" t="s">
        <v>356</v>
      </c>
      <c r="AO142" s="103" t="str">
        <f t="shared" si="203"/>
        <v>Chronic</v>
      </c>
      <c r="AP142" s="102" t="str">
        <f t="shared" ref="AP142:AP154" si="208">IF(AO142="chronic","y","n")</f>
        <v>y</v>
      </c>
      <c r="AQ142" s="104" t="str">
        <f t="shared" si="204"/>
        <v>Reproduction</v>
      </c>
      <c r="AR142" s="102" t="s">
        <v>459</v>
      </c>
      <c r="AS142" s="105">
        <f t="shared" si="205"/>
        <v>7</v>
      </c>
      <c r="AT142" s="102" t="s">
        <v>460</v>
      </c>
      <c r="AU142" s="102"/>
      <c r="AV142" s="106">
        <f t="shared" si="206"/>
        <v>45.309356870995593</v>
      </c>
      <c r="AW142" s="107">
        <f>GEOMEAN(AV142:AV142)</f>
        <v>45.309356870995593</v>
      </c>
      <c r="AX142" s="108">
        <f>MIN(AW142:AW142)</f>
        <v>45.309356870995593</v>
      </c>
      <c r="AY142" s="109">
        <f>MIN(AX142)</f>
        <v>45.309356870995593</v>
      </c>
    </row>
    <row r="143" spans="1:52" x14ac:dyDescent="0.2">
      <c r="A143" s="32" t="s">
        <v>82</v>
      </c>
      <c r="B143" s="33">
        <v>240</v>
      </c>
      <c r="C143" s="34" t="s">
        <v>24</v>
      </c>
      <c r="D143" s="35" t="s">
        <v>77</v>
      </c>
      <c r="E143" s="33" t="s">
        <v>61</v>
      </c>
      <c r="F143" s="33" t="s">
        <v>62</v>
      </c>
      <c r="G143" s="33" t="s">
        <v>52</v>
      </c>
      <c r="H143" s="33" t="s">
        <v>571</v>
      </c>
      <c r="I143" s="36" t="s">
        <v>78</v>
      </c>
      <c r="J143" s="36" t="s">
        <v>83</v>
      </c>
      <c r="K143" s="36" t="s">
        <v>84</v>
      </c>
      <c r="L143" s="36" t="s">
        <v>54</v>
      </c>
      <c r="M143" s="36">
        <v>21</v>
      </c>
      <c r="N143" s="33" t="s">
        <v>55</v>
      </c>
      <c r="O143" s="37" t="s">
        <v>33</v>
      </c>
      <c r="P143" s="38" t="s">
        <v>79</v>
      </c>
      <c r="Q143" s="33" t="s">
        <v>80</v>
      </c>
      <c r="R143" s="40">
        <v>19.8</v>
      </c>
      <c r="S143" s="33" t="s">
        <v>81</v>
      </c>
      <c r="T143" s="33">
        <v>8.4499999999999993</v>
      </c>
      <c r="U143" s="33">
        <v>9.9039999999999999</v>
      </c>
      <c r="V143" s="44" t="s">
        <v>37</v>
      </c>
      <c r="W143" s="44" t="s">
        <v>37</v>
      </c>
      <c r="X143" s="33">
        <v>420</v>
      </c>
      <c r="Y143" s="40">
        <f t="shared" si="192"/>
        <v>4.2407108239095308</v>
      </c>
      <c r="Z143" s="40">
        <f t="shared" si="193"/>
        <v>21.142464693435951</v>
      </c>
      <c r="AA143" s="40">
        <f t="shared" si="207"/>
        <v>22.261560992159119</v>
      </c>
      <c r="AC143" s="16">
        <f t="shared" si="194"/>
        <v>0.17298163592151028</v>
      </c>
      <c r="AD143" s="26">
        <f t="shared" si="195"/>
        <v>5.7809604740571769</v>
      </c>
      <c r="AE143" s="51">
        <v>19</v>
      </c>
      <c r="AF143" s="85" t="str">
        <f t="shared" si="196"/>
        <v>NOEC</v>
      </c>
      <c r="AG143" s="9">
        <f t="shared" si="197"/>
        <v>1</v>
      </c>
      <c r="AH143" s="18">
        <f t="shared" si="198"/>
        <v>22.261560992159119</v>
      </c>
      <c r="AI143" s="88" t="str">
        <f t="shared" si="199"/>
        <v>Chronic</v>
      </c>
      <c r="AJ143" s="9">
        <f t="shared" si="200"/>
        <v>1</v>
      </c>
      <c r="AK143" s="18">
        <f t="shared" si="201"/>
        <v>22.261560992159119</v>
      </c>
      <c r="AL143" s="16"/>
      <c r="AM143" s="101" t="str">
        <f t="shared" si="202"/>
        <v>NOEC</v>
      </c>
      <c r="AN143" s="102" t="s">
        <v>356</v>
      </c>
      <c r="AO143" s="103" t="str">
        <f t="shared" si="203"/>
        <v>Chronic</v>
      </c>
      <c r="AP143" s="102" t="str">
        <f t="shared" si="208"/>
        <v>y</v>
      </c>
      <c r="AQ143" s="104" t="str">
        <f t="shared" si="204"/>
        <v>Mean total young/daphnid</v>
      </c>
      <c r="AR143" s="102" t="s">
        <v>459</v>
      </c>
      <c r="AS143" s="105">
        <f t="shared" si="205"/>
        <v>21</v>
      </c>
      <c r="AT143" s="102" t="s">
        <v>460</v>
      </c>
      <c r="AU143" s="102"/>
      <c r="AV143" s="147">
        <f t="shared" si="206"/>
        <v>22.261560992159119</v>
      </c>
      <c r="AW143" s="107">
        <f>GEOMEAN(AV143:AV143)</f>
        <v>22.261560992159119</v>
      </c>
      <c r="AX143" s="108">
        <f>MIN(AW143)</f>
        <v>22.261560992159119</v>
      </c>
      <c r="AY143" s="109"/>
    </row>
    <row r="144" spans="1:52" x14ac:dyDescent="0.2">
      <c r="A144" s="32" t="s">
        <v>87</v>
      </c>
      <c r="B144" s="33">
        <v>240</v>
      </c>
      <c r="C144" s="34" t="s">
        <v>24</v>
      </c>
      <c r="D144" s="35" t="s">
        <v>77</v>
      </c>
      <c r="E144" s="33" t="s">
        <v>61</v>
      </c>
      <c r="F144" s="33" t="s">
        <v>62</v>
      </c>
      <c r="G144" s="33" t="s">
        <v>52</v>
      </c>
      <c r="H144" s="33" t="s">
        <v>571</v>
      </c>
      <c r="I144" s="36" t="s">
        <v>78</v>
      </c>
      <c r="J144" s="36" t="s">
        <v>83</v>
      </c>
      <c r="K144" s="36" t="s">
        <v>88</v>
      </c>
      <c r="L144" s="36" t="s">
        <v>54</v>
      </c>
      <c r="M144" s="36">
        <v>21</v>
      </c>
      <c r="N144" s="33" t="s">
        <v>55</v>
      </c>
      <c r="O144" s="37" t="s">
        <v>33</v>
      </c>
      <c r="P144" s="38" t="s">
        <v>79</v>
      </c>
      <c r="Q144" s="33" t="s">
        <v>80</v>
      </c>
      <c r="R144" s="40">
        <v>19.8</v>
      </c>
      <c r="S144" s="33" t="s">
        <v>81</v>
      </c>
      <c r="T144" s="33">
        <v>8.4499999999999993</v>
      </c>
      <c r="U144" s="33">
        <v>9.9039999999999999</v>
      </c>
      <c r="V144" s="44" t="s">
        <v>37</v>
      </c>
      <c r="W144" s="44" t="s">
        <v>37</v>
      </c>
      <c r="X144" s="33">
        <v>420</v>
      </c>
      <c r="Y144" s="40">
        <f t="shared" si="192"/>
        <v>4.2407108239095308</v>
      </c>
      <c r="Z144" s="40">
        <f t="shared" si="193"/>
        <v>21.142464693435951</v>
      </c>
      <c r="AA144" s="40">
        <f t="shared" si="207"/>
        <v>22.261560992159119</v>
      </c>
      <c r="AC144" s="16">
        <f t="shared" si="194"/>
        <v>0.17298163592151028</v>
      </c>
      <c r="AD144" s="26">
        <f t="shared" si="195"/>
        <v>5.7809604740571769</v>
      </c>
      <c r="AE144" s="51">
        <v>19</v>
      </c>
      <c r="AF144" s="85" t="str">
        <f t="shared" si="196"/>
        <v>NOEC</v>
      </c>
      <c r="AG144" s="9">
        <f t="shared" si="197"/>
        <v>1</v>
      </c>
      <c r="AH144" s="18">
        <f t="shared" si="198"/>
        <v>22.261560992159119</v>
      </c>
      <c r="AI144" s="88" t="str">
        <f t="shared" si="199"/>
        <v>Chronic</v>
      </c>
      <c r="AJ144" s="9">
        <f t="shared" si="200"/>
        <v>1</v>
      </c>
      <c r="AK144" s="18">
        <f t="shared" si="201"/>
        <v>22.261560992159119</v>
      </c>
      <c r="AL144" s="16"/>
      <c r="AM144" s="132" t="str">
        <f t="shared" si="202"/>
        <v>NOEC</v>
      </c>
      <c r="AN144" s="67" t="s">
        <v>356</v>
      </c>
      <c r="AO144" s="88" t="str">
        <f t="shared" si="203"/>
        <v>Chronic</v>
      </c>
      <c r="AP144" s="67" t="str">
        <f t="shared" si="208"/>
        <v>y</v>
      </c>
      <c r="AQ144" s="69" t="str">
        <f t="shared" si="204"/>
        <v>Mean brood size/daphnid</v>
      </c>
      <c r="AR144" s="67" t="s">
        <v>475</v>
      </c>
      <c r="AS144" s="70">
        <f t="shared" si="205"/>
        <v>21</v>
      </c>
      <c r="AT144" s="67" t="s">
        <v>476</v>
      </c>
      <c r="AU144" s="67"/>
      <c r="AV144" s="82">
        <f t="shared" si="206"/>
        <v>22.261560992159119</v>
      </c>
      <c r="AW144" s="81">
        <f>GEOMEAN(AV144:AV144)</f>
        <v>22.261560992159119</v>
      </c>
      <c r="AX144" s="78">
        <f>MIN(AW144)</f>
        <v>22.261560992159119</v>
      </c>
      <c r="AY144" s="133"/>
    </row>
    <row r="145" spans="1:52" x14ac:dyDescent="0.2">
      <c r="A145" s="32" t="s">
        <v>89</v>
      </c>
      <c r="B145" s="33">
        <v>240</v>
      </c>
      <c r="C145" s="34" t="s">
        <v>24</v>
      </c>
      <c r="D145" s="35" t="s">
        <v>77</v>
      </c>
      <c r="E145" s="33" t="s">
        <v>61</v>
      </c>
      <c r="F145" s="33" t="s">
        <v>62</v>
      </c>
      <c r="G145" s="33" t="s">
        <v>52</v>
      </c>
      <c r="H145" s="33" t="s">
        <v>571</v>
      </c>
      <c r="I145" s="36" t="s">
        <v>78</v>
      </c>
      <c r="J145" s="36" t="s">
        <v>53</v>
      </c>
      <c r="K145" s="36" t="s">
        <v>53</v>
      </c>
      <c r="L145" s="36" t="s">
        <v>54</v>
      </c>
      <c r="M145" s="36">
        <v>21</v>
      </c>
      <c r="N145" s="33" t="s">
        <v>55</v>
      </c>
      <c r="O145" s="37" t="s">
        <v>33</v>
      </c>
      <c r="P145" s="38" t="s">
        <v>79</v>
      </c>
      <c r="Q145" s="33" t="s">
        <v>80</v>
      </c>
      <c r="R145" s="40">
        <v>19.8</v>
      </c>
      <c r="S145" s="33" t="s">
        <v>81</v>
      </c>
      <c r="T145" s="33">
        <v>8.4499999999999993</v>
      </c>
      <c r="U145" s="33">
        <v>9.9039999999999999</v>
      </c>
      <c r="V145" s="44" t="s">
        <v>37</v>
      </c>
      <c r="W145" s="44" t="s">
        <v>37</v>
      </c>
      <c r="X145" s="33">
        <v>420</v>
      </c>
      <c r="Y145" s="40">
        <f t="shared" si="192"/>
        <v>4.2407108239095308</v>
      </c>
      <c r="Z145" s="40">
        <f t="shared" si="193"/>
        <v>21.142464693435951</v>
      </c>
      <c r="AA145" s="40">
        <f t="shared" si="207"/>
        <v>22.261560992159119</v>
      </c>
      <c r="AC145" s="16">
        <f t="shared" si="194"/>
        <v>0.17298163592151028</v>
      </c>
      <c r="AD145" s="26">
        <f t="shared" si="195"/>
        <v>5.7809604740571769</v>
      </c>
      <c r="AE145" s="51">
        <v>19</v>
      </c>
      <c r="AF145" s="85" t="str">
        <f t="shared" si="196"/>
        <v>NOEC</v>
      </c>
      <c r="AG145" s="9">
        <f t="shared" si="197"/>
        <v>1</v>
      </c>
      <c r="AH145" s="18">
        <f t="shared" si="198"/>
        <v>22.261560992159119</v>
      </c>
      <c r="AI145" s="88" t="str">
        <f t="shared" si="199"/>
        <v>Chronic</v>
      </c>
      <c r="AJ145" s="9">
        <f t="shared" si="200"/>
        <v>1</v>
      </c>
      <c r="AK145" s="18">
        <f t="shared" si="201"/>
        <v>22.261560992159119</v>
      </c>
      <c r="AL145" s="16"/>
      <c r="AM145" s="110" t="str">
        <f t="shared" si="202"/>
        <v>NOEC</v>
      </c>
      <c r="AN145" s="111" t="s">
        <v>356</v>
      </c>
      <c r="AO145" s="112" t="str">
        <f t="shared" si="203"/>
        <v>Chronic</v>
      </c>
      <c r="AP145" s="111" t="str">
        <f t="shared" si="208"/>
        <v>y</v>
      </c>
      <c r="AQ145" s="134" t="str">
        <f t="shared" si="204"/>
        <v>Mortality</v>
      </c>
      <c r="AR145" s="111" t="s">
        <v>55</v>
      </c>
      <c r="AS145" s="114">
        <f t="shared" si="205"/>
        <v>21</v>
      </c>
      <c r="AT145" s="111" t="s">
        <v>477</v>
      </c>
      <c r="AU145" s="111"/>
      <c r="AV145" s="138">
        <f t="shared" si="206"/>
        <v>22.261560992159119</v>
      </c>
      <c r="AW145" s="135">
        <f>GEOMEAN(AV145:AV145)</f>
        <v>22.261560992159119</v>
      </c>
      <c r="AX145" s="136">
        <f>MIN(AW145)</f>
        <v>22.261560992159119</v>
      </c>
      <c r="AY145" s="137">
        <f>MIN(AX143:AX145)</f>
        <v>22.261560992159119</v>
      </c>
    </row>
    <row r="146" spans="1:52" x14ac:dyDescent="0.2">
      <c r="A146" s="19" t="s">
        <v>90</v>
      </c>
      <c r="B146" s="23">
        <v>231</v>
      </c>
      <c r="C146" s="10" t="s">
        <v>24</v>
      </c>
      <c r="D146" s="11" t="s">
        <v>91</v>
      </c>
      <c r="E146" s="9" t="s">
        <v>61</v>
      </c>
      <c r="F146" s="9" t="s">
        <v>92</v>
      </c>
      <c r="G146" s="9" t="s">
        <v>93</v>
      </c>
      <c r="H146" s="9" t="s">
        <v>571</v>
      </c>
      <c r="I146" s="9" t="s">
        <v>94</v>
      </c>
      <c r="J146" s="12" t="s">
        <v>53</v>
      </c>
      <c r="K146" s="12" t="s">
        <v>95</v>
      </c>
      <c r="L146" s="12" t="s">
        <v>54</v>
      </c>
      <c r="M146" s="9">
        <v>29</v>
      </c>
      <c r="N146" s="9" t="s">
        <v>55</v>
      </c>
      <c r="O146" s="9" t="s">
        <v>33</v>
      </c>
      <c r="P146" s="14" t="s">
        <v>96</v>
      </c>
      <c r="Q146" s="23">
        <v>15.8</v>
      </c>
      <c r="R146" s="94">
        <v>15.8</v>
      </c>
      <c r="S146" s="9">
        <v>8.3699999999999992</v>
      </c>
      <c r="T146" s="9">
        <v>8.3699999999999992</v>
      </c>
      <c r="U146" s="9">
        <v>6.3609999999999998</v>
      </c>
      <c r="V146" s="9">
        <v>0.94899999999999995</v>
      </c>
      <c r="W146" s="9">
        <v>66</v>
      </c>
      <c r="X146" s="9">
        <v>66</v>
      </c>
      <c r="Y146" s="9">
        <v>0.94899999999999995</v>
      </c>
      <c r="Z146" s="15">
        <f t="shared" si="193"/>
        <v>4.1349303568432507</v>
      </c>
      <c r="AA146" s="15">
        <f t="shared" si="207"/>
        <v>3.364094595433277</v>
      </c>
      <c r="AC146" s="16">
        <f t="shared" si="194"/>
        <v>0.20796966871036979</v>
      </c>
      <c r="AD146" s="26">
        <f t="shared" si="195"/>
        <v>4.8083934844972802</v>
      </c>
      <c r="AE146" s="51">
        <v>19</v>
      </c>
      <c r="AF146" s="85" t="str">
        <f t="shared" si="196"/>
        <v>NOEC</v>
      </c>
      <c r="AG146" s="9">
        <f t="shared" si="197"/>
        <v>1</v>
      </c>
      <c r="AH146" s="18">
        <f t="shared" si="198"/>
        <v>3.364094595433277</v>
      </c>
      <c r="AI146" s="88" t="str">
        <f t="shared" si="199"/>
        <v>Chronic</v>
      </c>
      <c r="AJ146" s="9">
        <f t="shared" si="200"/>
        <v>1</v>
      </c>
      <c r="AK146" s="18">
        <f t="shared" si="201"/>
        <v>3.364094595433277</v>
      </c>
      <c r="AL146" s="16"/>
      <c r="AM146" s="127" t="str">
        <f t="shared" si="202"/>
        <v>NOEC</v>
      </c>
      <c r="AN146" s="128" t="s">
        <v>356</v>
      </c>
      <c r="AO146" s="129" t="str">
        <f t="shared" si="203"/>
        <v>Chronic</v>
      </c>
      <c r="AP146" s="128" t="str">
        <f t="shared" si="208"/>
        <v>y</v>
      </c>
      <c r="AQ146" s="130" t="str">
        <f t="shared" si="204"/>
        <v>Mortality (of juvenile Deleatidium sp.)</v>
      </c>
      <c r="AR146" s="128" t="s">
        <v>459</v>
      </c>
      <c r="AS146" s="131">
        <f t="shared" si="205"/>
        <v>29</v>
      </c>
      <c r="AT146" s="128" t="s">
        <v>460</v>
      </c>
      <c r="AU146" s="128"/>
      <c r="AV146" s="143">
        <f t="shared" si="206"/>
        <v>3.364094595433277</v>
      </c>
      <c r="AW146" s="144">
        <f t="shared" ref="AW146:AW147" si="209">GEOMEAN(AV146:AV146)</f>
        <v>3.364094595433277</v>
      </c>
      <c r="AX146" s="141">
        <f>MIN(AW146)</f>
        <v>3.364094595433277</v>
      </c>
      <c r="AY146" s="142">
        <f>MIN(AX146:AX146)</f>
        <v>3.364094595433277</v>
      </c>
    </row>
    <row r="147" spans="1:52" x14ac:dyDescent="0.2">
      <c r="A147" s="32" t="s">
        <v>97</v>
      </c>
      <c r="B147" s="44">
        <v>221</v>
      </c>
      <c r="C147" s="34" t="s">
        <v>24</v>
      </c>
      <c r="D147" s="35" t="s">
        <v>98</v>
      </c>
      <c r="E147" s="33" t="s">
        <v>61</v>
      </c>
      <c r="F147" s="33" t="s">
        <v>99</v>
      </c>
      <c r="G147" s="33" t="s">
        <v>93</v>
      </c>
      <c r="H147" s="33" t="s">
        <v>571</v>
      </c>
      <c r="I147" s="36" t="s">
        <v>100</v>
      </c>
      <c r="J147" s="36" t="s">
        <v>64</v>
      </c>
      <c r="K147" s="44" t="s">
        <v>101</v>
      </c>
      <c r="L147" s="36" t="s">
        <v>54</v>
      </c>
      <c r="M147" s="36">
        <v>10</v>
      </c>
      <c r="N147" s="33" t="s">
        <v>102</v>
      </c>
      <c r="O147" s="33" t="s">
        <v>33</v>
      </c>
      <c r="P147" s="45" t="s">
        <v>103</v>
      </c>
      <c r="Q147" s="44">
        <v>25</v>
      </c>
      <c r="R147" s="44">
        <v>25</v>
      </c>
      <c r="S147" s="33" t="s">
        <v>104</v>
      </c>
      <c r="T147" s="33">
        <v>8.0399999999999991</v>
      </c>
      <c r="U147" s="46">
        <v>5.8536524151080886</v>
      </c>
      <c r="V147" s="33">
        <v>2.5</v>
      </c>
      <c r="W147" s="33" t="s">
        <v>37</v>
      </c>
      <c r="X147" s="39">
        <f t="shared" ref="X147" si="210">(V147)*(U147/100)*1000</f>
        <v>146.3413103777022</v>
      </c>
      <c r="Y147" s="33">
        <v>2.5</v>
      </c>
      <c r="Z147" s="40">
        <f t="shared" si="193"/>
        <v>6.4367096033276967</v>
      </c>
      <c r="AA147" s="40">
        <f t="shared" si="207"/>
        <v>9.4768480235081149</v>
      </c>
      <c r="AC147" s="16">
        <f t="shared" si="194"/>
        <v>0.4446312674691093</v>
      </c>
      <c r="AD147" s="26">
        <f t="shared" si="195"/>
        <v>2.2490546058357781</v>
      </c>
      <c r="AE147" s="51">
        <v>19</v>
      </c>
      <c r="AF147" s="85" t="str">
        <f t="shared" si="196"/>
        <v>NOEC</v>
      </c>
      <c r="AG147" s="9">
        <f t="shared" si="197"/>
        <v>1</v>
      </c>
      <c r="AH147" s="18">
        <f t="shared" si="198"/>
        <v>9.4768480235081149</v>
      </c>
      <c r="AI147" s="88" t="str">
        <f t="shared" si="199"/>
        <v>Chronic</v>
      </c>
      <c r="AJ147" s="9">
        <f t="shared" si="200"/>
        <v>1</v>
      </c>
      <c r="AK147" s="18">
        <f t="shared" si="201"/>
        <v>9.4768480235081149</v>
      </c>
      <c r="AL147" s="16"/>
      <c r="AM147" s="101" t="str">
        <f t="shared" si="202"/>
        <v>NOEC</v>
      </c>
      <c r="AN147" s="102" t="s">
        <v>356</v>
      </c>
      <c r="AO147" s="103" t="str">
        <f t="shared" si="203"/>
        <v>Chronic</v>
      </c>
      <c r="AP147" s="102" t="str">
        <f t="shared" si="208"/>
        <v>y</v>
      </c>
      <c r="AQ147" s="104" t="str">
        <f t="shared" si="204"/>
        <v>Reproduction (average young per replicate)</v>
      </c>
      <c r="AR147" s="102" t="s">
        <v>459</v>
      </c>
      <c r="AS147" s="105">
        <f t="shared" si="205"/>
        <v>10</v>
      </c>
      <c r="AT147" s="102" t="s">
        <v>460</v>
      </c>
      <c r="AU147" s="102"/>
      <c r="AV147" s="147">
        <f t="shared" si="206"/>
        <v>9.4768480235081149</v>
      </c>
      <c r="AW147" s="118">
        <f t="shared" si="209"/>
        <v>9.4768480235081149</v>
      </c>
      <c r="AX147" s="73">
        <f>MIN(AW147:AW147)</f>
        <v>9.4768480235081149</v>
      </c>
      <c r="AY147" s="126">
        <f>MIN(AX147:AX147)</f>
        <v>9.4768480235081149</v>
      </c>
    </row>
    <row r="148" spans="1:52" x14ac:dyDescent="0.2">
      <c r="A148" s="19" t="s">
        <v>119</v>
      </c>
      <c r="B148" s="9">
        <v>235</v>
      </c>
      <c r="C148" s="10" t="s">
        <v>24</v>
      </c>
      <c r="D148" s="11" t="s">
        <v>120</v>
      </c>
      <c r="E148" s="9" t="s">
        <v>121</v>
      </c>
      <c r="F148" s="9" t="s">
        <v>122</v>
      </c>
      <c r="G148" s="9" t="s">
        <v>52</v>
      </c>
      <c r="H148" s="9" t="s">
        <v>571</v>
      </c>
      <c r="I148" s="12" t="s">
        <v>37</v>
      </c>
      <c r="J148" s="12" t="s">
        <v>123</v>
      </c>
      <c r="K148" s="12" t="s">
        <v>123</v>
      </c>
      <c r="L148" s="12" t="s">
        <v>54</v>
      </c>
      <c r="M148" s="12">
        <v>40</v>
      </c>
      <c r="N148" s="9" t="s">
        <v>55</v>
      </c>
      <c r="O148" s="13" t="s">
        <v>33</v>
      </c>
      <c r="P148" s="14" t="s">
        <v>56</v>
      </c>
      <c r="Q148" s="9" t="s">
        <v>438</v>
      </c>
      <c r="R148" s="9">
        <v>15.3</v>
      </c>
      <c r="S148" s="9" t="s">
        <v>124</v>
      </c>
      <c r="T148" s="9">
        <v>8.1</v>
      </c>
      <c r="U148" s="9">
        <v>3.3940000000000001</v>
      </c>
      <c r="V148" s="18">
        <v>2.1</v>
      </c>
      <c r="W148" s="9">
        <v>70</v>
      </c>
      <c r="X148" s="9">
        <v>70</v>
      </c>
      <c r="Y148" s="18">
        <v>2.1</v>
      </c>
      <c r="Z148" s="15">
        <f t="shared" si="193"/>
        <v>5.9178920071141139</v>
      </c>
      <c r="AA148" s="15">
        <f t="shared" si="207"/>
        <v>4.6619438202422323</v>
      </c>
      <c r="AC148" s="16">
        <f t="shared" si="194"/>
        <v>0.38725764492161724</v>
      </c>
      <c r="AD148" s="26">
        <f t="shared" si="195"/>
        <v>2.5822601906345959</v>
      </c>
      <c r="AE148" s="51">
        <v>19</v>
      </c>
      <c r="AF148" s="85" t="str">
        <f t="shared" si="196"/>
        <v>NOEC</v>
      </c>
      <c r="AG148" s="9">
        <f t="shared" si="197"/>
        <v>1</v>
      </c>
      <c r="AH148" s="18">
        <f t="shared" si="198"/>
        <v>4.6619438202422323</v>
      </c>
      <c r="AI148" s="88" t="str">
        <f t="shared" si="199"/>
        <v>Chronic</v>
      </c>
      <c r="AJ148" s="9">
        <f t="shared" si="200"/>
        <v>1</v>
      </c>
      <c r="AK148" s="18">
        <f t="shared" si="201"/>
        <v>4.6619438202422323</v>
      </c>
      <c r="AL148" s="16"/>
      <c r="AM148" s="127" t="str">
        <f t="shared" si="202"/>
        <v>NOEC</v>
      </c>
      <c r="AN148" s="128" t="s">
        <v>356</v>
      </c>
      <c r="AO148" s="129" t="str">
        <f t="shared" si="203"/>
        <v>Chronic</v>
      </c>
      <c r="AP148" s="128" t="str">
        <f t="shared" si="208"/>
        <v>y</v>
      </c>
      <c r="AQ148" s="130" t="str">
        <f t="shared" si="204"/>
        <v>Immobility</v>
      </c>
      <c r="AR148" s="128" t="s">
        <v>459</v>
      </c>
      <c r="AS148" s="131">
        <f t="shared" si="205"/>
        <v>40</v>
      </c>
      <c r="AT148" s="128" t="s">
        <v>460</v>
      </c>
      <c r="AU148" s="128"/>
      <c r="AV148" s="143">
        <f>AK148</f>
        <v>4.6619438202422323</v>
      </c>
      <c r="AW148" s="144">
        <f>GEOMEAN(AV148:AV148)</f>
        <v>4.6619438202422323</v>
      </c>
      <c r="AX148" s="148">
        <f>MIN(AW148)</f>
        <v>4.6619438202422323</v>
      </c>
      <c r="AY148" s="149">
        <f>MIN(AX148)</f>
        <v>4.6619438202422323</v>
      </c>
    </row>
    <row r="149" spans="1:52" x14ac:dyDescent="0.2">
      <c r="A149" s="32" t="s">
        <v>132</v>
      </c>
      <c r="B149" s="33">
        <v>254</v>
      </c>
      <c r="C149" s="34" t="s">
        <v>24</v>
      </c>
      <c r="D149" s="35" t="s">
        <v>126</v>
      </c>
      <c r="E149" s="33" t="s">
        <v>121</v>
      </c>
      <c r="F149" s="33" t="s">
        <v>127</v>
      </c>
      <c r="G149" s="33" t="s">
        <v>52</v>
      </c>
      <c r="H149" s="33" t="s">
        <v>571</v>
      </c>
      <c r="I149" s="36" t="s">
        <v>128</v>
      </c>
      <c r="J149" s="36" t="s">
        <v>53</v>
      </c>
      <c r="K149" s="36" t="s">
        <v>53</v>
      </c>
      <c r="L149" s="36" t="s">
        <v>133</v>
      </c>
      <c r="M149" s="36">
        <v>28</v>
      </c>
      <c r="N149" s="33" t="s">
        <v>55</v>
      </c>
      <c r="O149" s="37" t="s">
        <v>33</v>
      </c>
      <c r="P149" s="38" t="s">
        <v>129</v>
      </c>
      <c r="Q149" s="33" t="s">
        <v>130</v>
      </c>
      <c r="R149" s="33">
        <v>20</v>
      </c>
      <c r="S149" s="33" t="s">
        <v>131</v>
      </c>
      <c r="T149" s="33">
        <v>8.1999999999999993</v>
      </c>
      <c r="U149" s="33">
        <v>5.9020000000000001</v>
      </c>
      <c r="V149" s="33" t="s">
        <v>134</v>
      </c>
      <c r="W149" s="33" t="s">
        <v>37</v>
      </c>
      <c r="X149" s="33">
        <v>7.67</v>
      </c>
      <c r="Y149" s="33">
        <v>0.13</v>
      </c>
      <c r="Z149" s="40">
        <f t="shared" si="193"/>
        <v>0.4284575216169903</v>
      </c>
      <c r="AA149" s="40">
        <f t="shared" si="207"/>
        <v>0.45699113066861113</v>
      </c>
      <c r="AB149" t="s">
        <v>577</v>
      </c>
      <c r="AC149" s="16">
        <f t="shared" si="194"/>
        <v>0.30760968147407108</v>
      </c>
      <c r="AD149" s="26">
        <f t="shared" si="195"/>
        <v>3.2508729738543409</v>
      </c>
      <c r="AE149" s="51">
        <v>19</v>
      </c>
      <c r="AF149" s="85" t="str">
        <f t="shared" si="196"/>
        <v>IC10</v>
      </c>
      <c r="AG149" s="9">
        <f t="shared" si="197"/>
        <v>1</v>
      </c>
      <c r="AH149" s="18">
        <f t="shared" si="198"/>
        <v>0.45699113066861113</v>
      </c>
      <c r="AI149" s="88" t="str">
        <f t="shared" si="199"/>
        <v>Chronic</v>
      </c>
      <c r="AJ149" s="9">
        <f t="shared" si="200"/>
        <v>1</v>
      </c>
      <c r="AK149" s="18">
        <f t="shared" si="201"/>
        <v>0.45699113066861113</v>
      </c>
      <c r="AL149" s="16"/>
      <c r="AM149" s="132" t="str">
        <f t="shared" si="202"/>
        <v>IC10</v>
      </c>
      <c r="AN149" s="67" t="s">
        <v>356</v>
      </c>
      <c r="AO149" s="88" t="str">
        <f t="shared" si="203"/>
        <v>Chronic</v>
      </c>
      <c r="AP149" s="67" t="str">
        <f t="shared" si="208"/>
        <v>y</v>
      </c>
      <c r="AQ149" s="69" t="str">
        <f t="shared" si="204"/>
        <v>Mortality</v>
      </c>
      <c r="AR149" s="67" t="s">
        <v>459</v>
      </c>
      <c r="AS149" s="70">
        <f t="shared" si="205"/>
        <v>28</v>
      </c>
      <c r="AT149" s="67" t="s">
        <v>460</v>
      </c>
      <c r="AU149" s="67"/>
      <c r="AV149" s="151">
        <f>AK149</f>
        <v>0.45699113066861113</v>
      </c>
      <c r="AW149" s="95">
        <f>GEOMEAN(AV149:AV149)</f>
        <v>0.45699113066861113</v>
      </c>
      <c r="AX149" s="96">
        <f>MIN(AW149)</f>
        <v>0.45699113066861113</v>
      </c>
      <c r="AY149" s="153">
        <f>MIN(AX149)</f>
        <v>0.45699113066861113</v>
      </c>
    </row>
    <row r="150" spans="1:52" x14ac:dyDescent="0.2">
      <c r="A150" s="19" t="s">
        <v>144</v>
      </c>
      <c r="B150" s="9">
        <v>253</v>
      </c>
      <c r="C150" s="10" t="s">
        <v>24</v>
      </c>
      <c r="D150" s="11" t="s">
        <v>139</v>
      </c>
      <c r="E150" s="9" t="s">
        <v>121</v>
      </c>
      <c r="F150" s="9" t="s">
        <v>127</v>
      </c>
      <c r="G150" s="9" t="s">
        <v>52</v>
      </c>
      <c r="H150" s="9" t="s">
        <v>571</v>
      </c>
      <c r="I150" s="12" t="s">
        <v>140</v>
      </c>
      <c r="J150" s="12" t="s">
        <v>53</v>
      </c>
      <c r="K150" s="12" t="s">
        <v>53</v>
      </c>
      <c r="L150" s="12" t="s">
        <v>31</v>
      </c>
      <c r="M150" s="12">
        <v>28</v>
      </c>
      <c r="N150" s="9" t="s">
        <v>55</v>
      </c>
      <c r="O150" s="13" t="s">
        <v>33</v>
      </c>
      <c r="P150" s="14" t="s">
        <v>141</v>
      </c>
      <c r="Q150" s="9">
        <v>20</v>
      </c>
      <c r="R150" s="9">
        <v>20</v>
      </c>
      <c r="S150" s="9" t="s">
        <v>142</v>
      </c>
      <c r="T150" s="9">
        <v>8.26</v>
      </c>
      <c r="U150" s="9">
        <v>6.718</v>
      </c>
      <c r="V150" s="9">
        <v>0.54</v>
      </c>
      <c r="W150" s="9" t="s">
        <v>37</v>
      </c>
      <c r="X150" s="9">
        <v>36.299999999999997</v>
      </c>
      <c r="Y150" s="9">
        <v>0.54</v>
      </c>
      <c r="Z150" s="15">
        <f t="shared" si="193"/>
        <v>1.9610361754850452</v>
      </c>
      <c r="AA150" s="15">
        <f t="shared" si="207"/>
        <v>2.0916335783645685</v>
      </c>
      <c r="AC150" s="16">
        <f t="shared" si="194"/>
        <v>0.26791683248190312</v>
      </c>
      <c r="AD150" s="26">
        <f t="shared" si="195"/>
        <v>3.7325015779572066</v>
      </c>
      <c r="AE150" s="51">
        <v>19</v>
      </c>
      <c r="AF150" s="85" t="str">
        <f t="shared" si="196"/>
        <v>EC10</v>
      </c>
      <c r="AG150" s="9">
        <f t="shared" si="197"/>
        <v>1</v>
      </c>
      <c r="AH150" s="18">
        <f t="shared" si="198"/>
        <v>2.0916335783645685</v>
      </c>
      <c r="AI150" s="88" t="str">
        <f t="shared" si="199"/>
        <v>Chronic</v>
      </c>
      <c r="AJ150" s="9">
        <f t="shared" si="200"/>
        <v>1</v>
      </c>
      <c r="AK150" s="18">
        <f t="shared" si="201"/>
        <v>2.0916335783645685</v>
      </c>
      <c r="AM150" s="101" t="str">
        <f t="shared" si="202"/>
        <v>EC10</v>
      </c>
      <c r="AN150" s="102" t="s">
        <v>356</v>
      </c>
      <c r="AO150" s="103" t="str">
        <f t="shared" si="203"/>
        <v>Chronic</v>
      </c>
      <c r="AP150" s="102" t="str">
        <f t="shared" si="208"/>
        <v>y</v>
      </c>
      <c r="AQ150" s="104" t="str">
        <f t="shared" si="204"/>
        <v>Mortality</v>
      </c>
      <c r="AR150" s="196" t="s">
        <v>459</v>
      </c>
      <c r="AS150" s="105">
        <f t="shared" si="205"/>
        <v>28</v>
      </c>
      <c r="AT150" s="158" t="s">
        <v>460</v>
      </c>
      <c r="AU150" s="197"/>
      <c r="AV150" s="154">
        <f t="shared" ref="AV150:AV153" si="211">AK150</f>
        <v>2.0916335783645685</v>
      </c>
      <c r="AW150" s="155"/>
      <c r="AX150" s="197"/>
      <c r="AY150" s="198"/>
    </row>
    <row r="151" spans="1:52" x14ac:dyDescent="0.2">
      <c r="A151" s="19" t="s">
        <v>146</v>
      </c>
      <c r="B151" s="9">
        <v>254</v>
      </c>
      <c r="C151" s="10" t="s">
        <v>24</v>
      </c>
      <c r="D151" s="11" t="s">
        <v>139</v>
      </c>
      <c r="E151" s="9" t="s">
        <v>121</v>
      </c>
      <c r="F151" s="9" t="s">
        <v>127</v>
      </c>
      <c r="G151" s="9" t="s">
        <v>52</v>
      </c>
      <c r="H151" s="9" t="s">
        <v>571</v>
      </c>
      <c r="I151" s="12" t="s">
        <v>140</v>
      </c>
      <c r="J151" s="12" t="s">
        <v>53</v>
      </c>
      <c r="K151" s="12" t="s">
        <v>53</v>
      </c>
      <c r="L151" s="12" t="s">
        <v>133</v>
      </c>
      <c r="M151" s="12">
        <v>28</v>
      </c>
      <c r="N151" s="9" t="s">
        <v>55</v>
      </c>
      <c r="O151" s="13" t="s">
        <v>33</v>
      </c>
      <c r="P151" s="14" t="s">
        <v>129</v>
      </c>
      <c r="Q151" s="9" t="s">
        <v>130</v>
      </c>
      <c r="R151" s="9">
        <v>20</v>
      </c>
      <c r="S151" s="9" t="s">
        <v>131</v>
      </c>
      <c r="T151" s="9">
        <v>8.1999999999999993</v>
      </c>
      <c r="U151" s="9">
        <v>5.9020000000000001</v>
      </c>
      <c r="V151" s="9" t="s">
        <v>134</v>
      </c>
      <c r="W151" s="9" t="s">
        <v>37</v>
      </c>
      <c r="X151" s="9">
        <v>7.67</v>
      </c>
      <c r="Y151" s="9">
        <v>0.13</v>
      </c>
      <c r="Z151" s="15">
        <f t="shared" si="193"/>
        <v>0.4284575216169903</v>
      </c>
      <c r="AA151" s="15">
        <f t="shared" si="207"/>
        <v>0.45699113066861113</v>
      </c>
      <c r="AB151" t="s">
        <v>577</v>
      </c>
      <c r="AC151" s="16">
        <f t="shared" si="194"/>
        <v>0.30760968147407108</v>
      </c>
      <c r="AD151" s="26">
        <f t="shared" si="195"/>
        <v>3.2508729738543409</v>
      </c>
      <c r="AE151" s="51">
        <v>19</v>
      </c>
      <c r="AF151" s="85" t="str">
        <f t="shared" si="196"/>
        <v>IC10</v>
      </c>
      <c r="AG151" s="9">
        <f t="shared" si="197"/>
        <v>1</v>
      </c>
      <c r="AH151" s="18">
        <f t="shared" si="198"/>
        <v>0.45699113066861113</v>
      </c>
      <c r="AI151" s="88" t="str">
        <f t="shared" si="199"/>
        <v>Chronic</v>
      </c>
      <c r="AJ151" s="9">
        <f t="shared" si="200"/>
        <v>1</v>
      </c>
      <c r="AK151" s="18">
        <f t="shared" si="201"/>
        <v>0.45699113066861113</v>
      </c>
      <c r="AL151" s="16"/>
      <c r="AM151" s="110" t="str">
        <f t="shared" si="202"/>
        <v>IC10</v>
      </c>
      <c r="AN151" s="111" t="s">
        <v>356</v>
      </c>
      <c r="AO151" s="112" t="str">
        <f t="shared" si="203"/>
        <v>Chronic</v>
      </c>
      <c r="AP151" s="111" t="str">
        <f t="shared" si="208"/>
        <v>y</v>
      </c>
      <c r="AQ151" s="134" t="str">
        <f t="shared" si="204"/>
        <v>Mortality</v>
      </c>
      <c r="AR151" s="199" t="s">
        <v>459</v>
      </c>
      <c r="AS151" s="114">
        <f t="shared" si="205"/>
        <v>28</v>
      </c>
      <c r="AT151" s="199" t="s">
        <v>460</v>
      </c>
      <c r="AU151" s="200"/>
      <c r="AV151" s="152">
        <f t="shared" si="211"/>
        <v>0.45699113066861113</v>
      </c>
      <c r="AW151" s="140">
        <f>GEOMEAN(AV150:AV151)</f>
        <v>0.97767990360918089</v>
      </c>
      <c r="AX151" s="141">
        <f>MIN(AW151)</f>
        <v>0.97767990360918089</v>
      </c>
      <c r="AY151" s="142">
        <f>MIN(AX151:AX151)</f>
        <v>0.97767990360918089</v>
      </c>
    </row>
    <row r="152" spans="1:52" x14ac:dyDescent="0.2">
      <c r="A152" s="32" t="s">
        <v>148</v>
      </c>
      <c r="B152" s="33">
        <v>256</v>
      </c>
      <c r="C152" s="38" t="s">
        <v>24</v>
      </c>
      <c r="D152" s="35" t="s">
        <v>149</v>
      </c>
      <c r="E152" s="33" t="s">
        <v>121</v>
      </c>
      <c r="F152" s="33" t="s">
        <v>127</v>
      </c>
      <c r="G152" s="33" t="s">
        <v>52</v>
      </c>
      <c r="H152" s="33" t="s">
        <v>571</v>
      </c>
      <c r="I152" s="33" t="s">
        <v>37</v>
      </c>
      <c r="J152" s="36" t="s">
        <v>53</v>
      </c>
      <c r="K152" s="36" t="s">
        <v>53</v>
      </c>
      <c r="L152" s="36" t="s">
        <v>54</v>
      </c>
      <c r="M152" s="36">
        <v>6</v>
      </c>
      <c r="N152" s="33" t="s">
        <v>102</v>
      </c>
      <c r="O152" s="37" t="s">
        <v>33</v>
      </c>
      <c r="P152" s="38" t="s">
        <v>150</v>
      </c>
      <c r="Q152" s="33" t="s">
        <v>151</v>
      </c>
      <c r="R152" s="33">
        <v>21.8</v>
      </c>
      <c r="S152" s="33" t="s">
        <v>152</v>
      </c>
      <c r="T152" s="33">
        <v>7.8</v>
      </c>
      <c r="U152" s="33">
        <v>2.7679999999999998</v>
      </c>
      <c r="V152" s="33" t="s">
        <v>37</v>
      </c>
      <c r="W152" s="33">
        <v>30</v>
      </c>
      <c r="X152" s="33">
        <v>30</v>
      </c>
      <c r="Y152" s="40">
        <f t="shared" ref="Y152" si="212">X152/((U152/100)*1000)</f>
        <v>1.0838150289017343</v>
      </c>
      <c r="Z152" s="40">
        <f t="shared" si="193"/>
        <v>2.0127302212112239</v>
      </c>
      <c r="AA152" s="40">
        <f t="shared" si="207"/>
        <v>2.4109353655548116</v>
      </c>
      <c r="AB152" s="16"/>
      <c r="AC152" s="16">
        <f t="shared" si="194"/>
        <v>0.77268058509570214</v>
      </c>
      <c r="AD152" s="26">
        <f t="shared" si="195"/>
        <v>1.2941958414499863</v>
      </c>
      <c r="AE152" s="51">
        <v>19</v>
      </c>
      <c r="AF152" s="85" t="str">
        <f t="shared" si="196"/>
        <v>NOEC</v>
      </c>
      <c r="AG152" s="9">
        <f t="shared" si="197"/>
        <v>1</v>
      </c>
      <c r="AH152" s="18">
        <f t="shared" si="198"/>
        <v>2.4109353655548116</v>
      </c>
      <c r="AI152" s="88" t="str">
        <f t="shared" si="199"/>
        <v>Chronic</v>
      </c>
      <c r="AJ152" s="9">
        <f t="shared" si="200"/>
        <v>1</v>
      </c>
      <c r="AK152" s="18">
        <f t="shared" si="201"/>
        <v>2.4109353655548116</v>
      </c>
      <c r="AL152" s="16"/>
      <c r="AM152" s="101" t="str">
        <f t="shared" si="202"/>
        <v>NOEC</v>
      </c>
      <c r="AN152" s="102" t="s">
        <v>356</v>
      </c>
      <c r="AO152" s="103" t="str">
        <f t="shared" si="203"/>
        <v>Chronic</v>
      </c>
      <c r="AP152" s="102" t="str">
        <f t="shared" si="208"/>
        <v>y</v>
      </c>
      <c r="AQ152" s="104" t="str">
        <f t="shared" si="204"/>
        <v>Mortality</v>
      </c>
      <c r="AR152" s="102" t="s">
        <v>459</v>
      </c>
      <c r="AS152" s="105">
        <f t="shared" si="205"/>
        <v>6</v>
      </c>
      <c r="AT152" s="102" t="s">
        <v>460</v>
      </c>
      <c r="AU152" s="102"/>
      <c r="AV152" s="154">
        <f t="shared" si="211"/>
        <v>2.4109353655548116</v>
      </c>
      <c r="AW152" s="118">
        <f>GEOMEAN(AV152)</f>
        <v>2.4109353655548116</v>
      </c>
      <c r="AX152" s="119">
        <f>MIN(AW152:AW152)</f>
        <v>2.4109353655548116</v>
      </c>
      <c r="AY152" s="126">
        <f>MIN(AX152)</f>
        <v>2.4109353655548116</v>
      </c>
    </row>
    <row r="153" spans="1:52" x14ac:dyDescent="0.2">
      <c r="A153" s="8" t="s">
        <v>168</v>
      </c>
      <c r="B153" s="9">
        <v>242</v>
      </c>
      <c r="C153" s="10" t="s">
        <v>24</v>
      </c>
      <c r="D153" s="11" t="s">
        <v>155</v>
      </c>
      <c r="E153" s="9" t="s">
        <v>121</v>
      </c>
      <c r="F153" s="9" t="s">
        <v>127</v>
      </c>
      <c r="G153" s="9" t="s">
        <v>52</v>
      </c>
      <c r="H153" s="9" t="s">
        <v>571</v>
      </c>
      <c r="I153" s="12" t="s">
        <v>156</v>
      </c>
      <c r="J153" s="12" t="s">
        <v>136</v>
      </c>
      <c r="K153" s="12" t="s">
        <v>169</v>
      </c>
      <c r="L153" s="12" t="s">
        <v>54</v>
      </c>
      <c r="M153" s="12">
        <v>60</v>
      </c>
      <c r="N153" s="9" t="s">
        <v>55</v>
      </c>
      <c r="O153" s="13" t="s">
        <v>33</v>
      </c>
      <c r="P153" s="14" t="s">
        <v>157</v>
      </c>
      <c r="Q153" s="9">
        <v>20</v>
      </c>
      <c r="R153" s="9">
        <v>20</v>
      </c>
      <c r="S153" s="28" t="s">
        <v>158</v>
      </c>
      <c r="T153" s="28">
        <v>7.73</v>
      </c>
      <c r="U153" s="26" t="s">
        <v>170</v>
      </c>
      <c r="V153" s="9">
        <v>0.65</v>
      </c>
      <c r="W153" s="9">
        <v>12</v>
      </c>
      <c r="X153" s="9">
        <v>12</v>
      </c>
      <c r="Y153" s="9">
        <v>0.65</v>
      </c>
      <c r="Z153" s="15">
        <f t="shared" si="193"/>
        <v>1.1105489745328638</v>
      </c>
      <c r="AA153" s="15">
        <f t="shared" si="207"/>
        <v>1.184507228672993</v>
      </c>
      <c r="AC153" s="16">
        <f t="shared" si="194"/>
        <v>0.90782053017818432</v>
      </c>
      <c r="AD153" s="26">
        <f t="shared" si="195"/>
        <v>1.1015393095414168</v>
      </c>
      <c r="AE153" s="51">
        <v>19</v>
      </c>
      <c r="AF153" s="85" t="str">
        <f t="shared" si="196"/>
        <v>NOEC</v>
      </c>
      <c r="AG153" s="9">
        <f t="shared" si="197"/>
        <v>1</v>
      </c>
      <c r="AH153" s="18">
        <f t="shared" si="198"/>
        <v>1.184507228672993</v>
      </c>
      <c r="AI153" s="88" t="str">
        <f t="shared" si="199"/>
        <v>Chronic</v>
      </c>
      <c r="AJ153" s="9">
        <f t="shared" si="200"/>
        <v>1</v>
      </c>
      <c r="AK153" s="18">
        <f t="shared" si="201"/>
        <v>1.184507228672993</v>
      </c>
      <c r="AL153" s="16"/>
      <c r="AM153" s="110" t="str">
        <f t="shared" si="202"/>
        <v>NOEC</v>
      </c>
      <c r="AN153" s="111" t="s">
        <v>356</v>
      </c>
      <c r="AO153" s="112" t="str">
        <f t="shared" si="203"/>
        <v>Chronic</v>
      </c>
      <c r="AP153" s="111" t="str">
        <f t="shared" si="208"/>
        <v>y</v>
      </c>
      <c r="AQ153" s="134" t="str">
        <f t="shared" si="204"/>
        <v>Length</v>
      </c>
      <c r="AR153" s="111" t="s">
        <v>475</v>
      </c>
      <c r="AS153" s="114">
        <f t="shared" si="205"/>
        <v>60</v>
      </c>
      <c r="AT153" s="111" t="s">
        <v>476</v>
      </c>
      <c r="AU153" s="111"/>
      <c r="AV153" s="152">
        <f t="shared" si="211"/>
        <v>1.184507228672993</v>
      </c>
      <c r="AW153" s="140">
        <f>GEOMEAN(AV153)</f>
        <v>1.184507228672993</v>
      </c>
      <c r="AX153" s="141">
        <f>MIN(AW153)</f>
        <v>1.184507228672993</v>
      </c>
      <c r="AY153" s="142">
        <f>MIN(AX153:AX153)</f>
        <v>1.184507228672993</v>
      </c>
    </row>
    <row r="154" spans="1:52" x14ac:dyDescent="0.2">
      <c r="A154" s="32" t="s">
        <v>176</v>
      </c>
      <c r="B154" s="33">
        <v>254</v>
      </c>
      <c r="C154" s="34" t="s">
        <v>24</v>
      </c>
      <c r="D154" s="35" t="s">
        <v>172</v>
      </c>
      <c r="E154" s="33" t="s">
        <v>121</v>
      </c>
      <c r="F154" s="33" t="s">
        <v>127</v>
      </c>
      <c r="G154" s="33" t="s">
        <v>52</v>
      </c>
      <c r="H154" s="33" t="s">
        <v>571</v>
      </c>
      <c r="I154" s="36" t="s">
        <v>128</v>
      </c>
      <c r="J154" s="36" t="s">
        <v>177</v>
      </c>
      <c r="K154" s="36" t="s">
        <v>137</v>
      </c>
      <c r="L154" s="36" t="s">
        <v>133</v>
      </c>
      <c r="M154" s="36">
        <v>28</v>
      </c>
      <c r="N154" s="33" t="s">
        <v>55</v>
      </c>
      <c r="O154" s="37" t="s">
        <v>33</v>
      </c>
      <c r="P154" s="38" t="s">
        <v>129</v>
      </c>
      <c r="Q154" s="33" t="s">
        <v>130</v>
      </c>
      <c r="R154" s="33">
        <v>20</v>
      </c>
      <c r="S154" s="33" t="s">
        <v>131</v>
      </c>
      <c r="T154" s="33">
        <v>8.1999999999999993</v>
      </c>
      <c r="U154" s="33">
        <v>5.9020000000000001</v>
      </c>
      <c r="V154" s="33" t="s">
        <v>175</v>
      </c>
      <c r="W154" s="33" t="s">
        <v>37</v>
      </c>
      <c r="X154" s="33">
        <v>23.6</v>
      </c>
      <c r="Y154" s="33">
        <v>0.4</v>
      </c>
      <c r="Z154" s="40">
        <f t="shared" si="193"/>
        <v>1.3183308357445855</v>
      </c>
      <c r="AA154" s="40">
        <f t="shared" si="207"/>
        <v>1.4061265559034193</v>
      </c>
      <c r="AB154" t="s">
        <v>577</v>
      </c>
      <c r="AC154" s="16">
        <f t="shared" si="194"/>
        <v>0.30760968147407108</v>
      </c>
      <c r="AD154" s="26">
        <f t="shared" si="195"/>
        <v>3.2508729738543409</v>
      </c>
      <c r="AE154" s="51">
        <v>19</v>
      </c>
      <c r="AF154" s="85" t="str">
        <f t="shared" si="196"/>
        <v>IC10</v>
      </c>
      <c r="AG154" s="9">
        <f t="shared" si="197"/>
        <v>1</v>
      </c>
      <c r="AH154" s="18">
        <f t="shared" si="198"/>
        <v>1.4061265559034193</v>
      </c>
      <c r="AI154" s="88" t="str">
        <f t="shared" si="199"/>
        <v>Chronic</v>
      </c>
      <c r="AJ154" s="9">
        <f t="shared" si="200"/>
        <v>1</v>
      </c>
      <c r="AK154" s="18">
        <f t="shared" si="201"/>
        <v>1.4061265559034193</v>
      </c>
      <c r="AL154" s="16"/>
      <c r="AM154" s="110" t="str">
        <f t="shared" si="202"/>
        <v>IC10</v>
      </c>
      <c r="AN154" s="111" t="s">
        <v>356</v>
      </c>
      <c r="AO154" s="112" t="str">
        <f t="shared" si="203"/>
        <v>Chronic</v>
      </c>
      <c r="AP154" s="111" t="str">
        <f t="shared" si="208"/>
        <v>y</v>
      </c>
      <c r="AQ154" s="134" t="str">
        <f t="shared" si="204"/>
        <v>Shell length</v>
      </c>
      <c r="AR154" s="111" t="s">
        <v>473</v>
      </c>
      <c r="AS154" s="114">
        <f t="shared" si="205"/>
        <v>28</v>
      </c>
      <c r="AT154" s="111" t="s">
        <v>474</v>
      </c>
      <c r="AU154" s="111"/>
      <c r="AV154" s="152">
        <f>AK154</f>
        <v>1.4061265559034193</v>
      </c>
      <c r="AW154" s="140">
        <f>GEOMEAN(AV154)</f>
        <v>1.4061265559034193</v>
      </c>
      <c r="AX154" s="141">
        <f>MIN(AW154)</f>
        <v>1.4061265559034193</v>
      </c>
      <c r="AY154" s="142">
        <f>MIN(AX154:AX154)</f>
        <v>1.4061265559034193</v>
      </c>
    </row>
    <row r="155" spans="1:52" x14ac:dyDescent="0.2">
      <c r="A155" s="193" t="s">
        <v>608</v>
      </c>
    </row>
    <row r="156" spans="1:52" x14ac:dyDescent="0.2">
      <c r="A156" s="32" t="s">
        <v>48</v>
      </c>
      <c r="B156" s="33">
        <v>236</v>
      </c>
      <c r="C156" s="34" t="s">
        <v>24</v>
      </c>
      <c r="D156" s="35" t="s">
        <v>49</v>
      </c>
      <c r="E156" s="33" t="s">
        <v>50</v>
      </c>
      <c r="F156" s="33" t="s">
        <v>51</v>
      </c>
      <c r="G156" s="33" t="s">
        <v>52</v>
      </c>
      <c r="H156" s="33" t="s">
        <v>571</v>
      </c>
      <c r="I156" s="36" t="s">
        <v>37</v>
      </c>
      <c r="J156" s="36" t="s">
        <v>53</v>
      </c>
      <c r="K156" s="36" t="s">
        <v>53</v>
      </c>
      <c r="L156" s="36" t="s">
        <v>54</v>
      </c>
      <c r="M156" s="36">
        <v>30</v>
      </c>
      <c r="N156" s="33" t="s">
        <v>55</v>
      </c>
      <c r="O156" s="37" t="s">
        <v>33</v>
      </c>
      <c r="P156" s="38" t="s">
        <v>56</v>
      </c>
      <c r="Q156" s="33" t="s">
        <v>57</v>
      </c>
      <c r="R156" s="40">
        <v>15.1</v>
      </c>
      <c r="S156" s="33" t="s">
        <v>58</v>
      </c>
      <c r="T156" s="33">
        <v>8.11</v>
      </c>
      <c r="U156" s="33">
        <v>3.42</v>
      </c>
      <c r="V156" s="33" t="s">
        <v>37</v>
      </c>
      <c r="W156" s="33">
        <v>20</v>
      </c>
      <c r="X156" s="40">
        <v>20</v>
      </c>
      <c r="Y156" s="40">
        <f t="shared" ref="Y156:Y160" si="213">X156/((U156/100)*1000)</f>
        <v>0.58479532163742687</v>
      </c>
      <c r="Z156" s="40">
        <f t="shared" ref="Z156:Z169" si="214">Y156/((0.0278/(1+AC156))+(1.1994/(1+AD156)))</f>
        <v>1.6734482467670493</v>
      </c>
      <c r="AA156" s="40">
        <f>POWER(10,LOG(Z156)-(-0.028*(R156-AE156)))</f>
        <v>1.1439638109608496</v>
      </c>
      <c r="AC156" s="16">
        <f t="shared" ref="AC156:AC169" si="215">POWER(10,7.688-T156)</f>
        <v>0.37844258471709358</v>
      </c>
      <c r="AD156" s="26">
        <f t="shared" ref="AD156:AD169" si="216">POWER(10,T156-7.688)</f>
        <v>2.6424087573219448</v>
      </c>
      <c r="AE156" s="51">
        <v>21</v>
      </c>
      <c r="AF156" s="85" t="str">
        <f t="shared" ref="AF156:AF169" si="217">L156</f>
        <v>NOEC</v>
      </c>
      <c r="AG156" s="9">
        <f t="shared" ref="AG156:AG169" si="218">VLOOKUP(AF156,$BD$6:$BE$17,2,FALSE)</f>
        <v>1</v>
      </c>
      <c r="AH156" s="18">
        <f t="shared" ref="AH156:AH169" si="219">AA156/AG156</f>
        <v>1.1439638109608496</v>
      </c>
      <c r="AI156" s="88" t="str">
        <f t="shared" ref="AI156:AI169" si="220">O156</f>
        <v>Chronic</v>
      </c>
      <c r="AJ156" s="9">
        <f t="shared" ref="AJ156:AJ169" si="221">VLOOKUP(AI156,$BD$19:$BF$20,2,FALSE)</f>
        <v>1</v>
      </c>
      <c r="AK156" s="18">
        <f t="shared" ref="AK156:AK169" si="222">AH156/AJ156</f>
        <v>1.1439638109608496</v>
      </c>
      <c r="AL156" s="16"/>
      <c r="AM156" s="127" t="str">
        <f t="shared" ref="AM156:AM169" si="223">L156</f>
        <v>NOEC</v>
      </c>
      <c r="AN156" s="128" t="s">
        <v>356</v>
      </c>
      <c r="AO156" s="129" t="str">
        <f t="shared" ref="AO156:AO169" si="224">O156</f>
        <v>Chronic</v>
      </c>
      <c r="AP156" s="128" t="str">
        <f>IF(AO156="chronic","y","n")</f>
        <v>y</v>
      </c>
      <c r="AQ156" s="130" t="str">
        <f t="shared" ref="AQ156:AQ169" si="225">K156</f>
        <v>Mortality</v>
      </c>
      <c r="AR156" s="128" t="s">
        <v>459</v>
      </c>
      <c r="AS156" s="131">
        <f t="shared" ref="AS156:AS169" si="226">M156</f>
        <v>30</v>
      </c>
      <c r="AT156" s="128" t="s">
        <v>460</v>
      </c>
      <c r="AU156" s="128"/>
      <c r="AV156" s="189">
        <f t="shared" ref="AV156:AV162" si="227">AK156</f>
        <v>1.1439638109608496</v>
      </c>
      <c r="AW156" s="144">
        <f>GEOMEAN(AV156)</f>
        <v>1.1439638109608496</v>
      </c>
      <c r="AX156" s="148">
        <f>MIN(AW156)</f>
        <v>1.1439638109608496</v>
      </c>
      <c r="AY156" s="149">
        <f>MIN(AX156)</f>
        <v>1.1439638109608496</v>
      </c>
      <c r="AZ156" s="206" t="str">
        <f>A155</f>
        <v>21°C</v>
      </c>
    </row>
    <row r="157" spans="1:52" x14ac:dyDescent="0.2">
      <c r="A157" s="19" t="s">
        <v>59</v>
      </c>
      <c r="B157" s="9">
        <v>245</v>
      </c>
      <c r="C157" s="10" t="s">
        <v>24</v>
      </c>
      <c r="D157" s="11" t="s">
        <v>60</v>
      </c>
      <c r="E157" s="20" t="s">
        <v>61</v>
      </c>
      <c r="F157" s="9" t="s">
        <v>62</v>
      </c>
      <c r="G157" s="9" t="s">
        <v>52</v>
      </c>
      <c r="H157" s="9" t="s">
        <v>571</v>
      </c>
      <c r="I157" s="12" t="s">
        <v>63</v>
      </c>
      <c r="J157" s="12" t="s">
        <v>64</v>
      </c>
      <c r="K157" s="12" t="s">
        <v>64</v>
      </c>
      <c r="L157" s="12" t="s">
        <v>54</v>
      </c>
      <c r="M157" s="12">
        <v>7</v>
      </c>
      <c r="N157" s="9" t="s">
        <v>55</v>
      </c>
      <c r="O157" s="21" t="s">
        <v>33</v>
      </c>
      <c r="P157" s="14" t="s">
        <v>65</v>
      </c>
      <c r="Q157" s="9">
        <v>25</v>
      </c>
      <c r="R157" s="9">
        <v>25</v>
      </c>
      <c r="S157" s="22">
        <v>8</v>
      </c>
      <c r="T157" s="22">
        <v>8</v>
      </c>
      <c r="U157" s="20">
        <v>5.3659999999999997</v>
      </c>
      <c r="V157" s="20" t="s">
        <v>37</v>
      </c>
      <c r="W157" s="20">
        <v>680</v>
      </c>
      <c r="X157" s="9">
        <v>680</v>
      </c>
      <c r="Y157" s="27">
        <f t="shared" si="213"/>
        <v>12.672381662318301</v>
      </c>
      <c r="Z157" s="15">
        <f t="shared" si="214"/>
        <v>30.774279778328605</v>
      </c>
      <c r="AA157" s="15">
        <f t="shared" ref="AA157:AA169" si="228">POWER(10,LOG(Z157)-(-0.028*(R157-AE157)))</f>
        <v>39.827944912731297</v>
      </c>
      <c r="AC157" s="16">
        <f t="shared" si="215"/>
        <v>0.48752849010338595</v>
      </c>
      <c r="AD157" s="26">
        <f t="shared" si="216"/>
        <v>2.051162178825567</v>
      </c>
      <c r="AE157" s="51">
        <v>21</v>
      </c>
      <c r="AF157" s="85" t="str">
        <f t="shared" si="217"/>
        <v>NOEC</v>
      </c>
      <c r="AG157" s="9">
        <f t="shared" si="218"/>
        <v>1</v>
      </c>
      <c r="AH157" s="18">
        <f t="shared" si="219"/>
        <v>39.827944912731297</v>
      </c>
      <c r="AI157" s="88" t="str">
        <f t="shared" si="220"/>
        <v>Chronic</v>
      </c>
      <c r="AJ157" s="9">
        <f t="shared" si="221"/>
        <v>1</v>
      </c>
      <c r="AK157" s="18">
        <f t="shared" si="222"/>
        <v>39.827944912731297</v>
      </c>
      <c r="AL157" s="16"/>
      <c r="AM157" s="101" t="str">
        <f t="shared" si="223"/>
        <v>NOEC</v>
      </c>
      <c r="AN157" s="102" t="s">
        <v>356</v>
      </c>
      <c r="AO157" s="103" t="str">
        <f t="shared" si="224"/>
        <v>Chronic</v>
      </c>
      <c r="AP157" s="102" t="str">
        <f t="shared" ref="AP157:AP169" si="229">IF(AO157="chronic","y","n")</f>
        <v>y</v>
      </c>
      <c r="AQ157" s="104" t="str">
        <f t="shared" si="225"/>
        <v>Reproduction</v>
      </c>
      <c r="AR157" s="102" t="s">
        <v>459</v>
      </c>
      <c r="AS157" s="105">
        <f t="shared" si="226"/>
        <v>7</v>
      </c>
      <c r="AT157" s="102" t="s">
        <v>460</v>
      </c>
      <c r="AU157" s="102"/>
      <c r="AV157" s="106">
        <f t="shared" si="227"/>
        <v>39.827944912731297</v>
      </c>
      <c r="AW157" s="107">
        <f>GEOMEAN(AV157:AV157)</f>
        <v>39.827944912731297</v>
      </c>
      <c r="AX157" s="108">
        <f>MIN(AW157:AW157)</f>
        <v>39.827944912731297</v>
      </c>
      <c r="AY157" s="109">
        <f>MIN(AX157)</f>
        <v>39.827944912731297</v>
      </c>
    </row>
    <row r="158" spans="1:52" x14ac:dyDescent="0.2">
      <c r="A158" s="32" t="s">
        <v>82</v>
      </c>
      <c r="B158" s="33">
        <v>240</v>
      </c>
      <c r="C158" s="34" t="s">
        <v>24</v>
      </c>
      <c r="D158" s="35" t="s">
        <v>77</v>
      </c>
      <c r="E158" s="33" t="s">
        <v>61</v>
      </c>
      <c r="F158" s="33" t="s">
        <v>62</v>
      </c>
      <c r="G158" s="33" t="s">
        <v>52</v>
      </c>
      <c r="H158" s="33" t="s">
        <v>571</v>
      </c>
      <c r="I158" s="36" t="s">
        <v>78</v>
      </c>
      <c r="J158" s="36" t="s">
        <v>83</v>
      </c>
      <c r="K158" s="36" t="s">
        <v>84</v>
      </c>
      <c r="L158" s="36" t="s">
        <v>54</v>
      </c>
      <c r="M158" s="36">
        <v>21</v>
      </c>
      <c r="N158" s="33" t="s">
        <v>55</v>
      </c>
      <c r="O158" s="37" t="s">
        <v>33</v>
      </c>
      <c r="P158" s="38" t="s">
        <v>79</v>
      </c>
      <c r="Q158" s="33" t="s">
        <v>80</v>
      </c>
      <c r="R158" s="40">
        <v>19.8</v>
      </c>
      <c r="S158" s="33" t="s">
        <v>81</v>
      </c>
      <c r="T158" s="33">
        <v>8.4499999999999993</v>
      </c>
      <c r="U158" s="33">
        <v>9.9039999999999999</v>
      </c>
      <c r="V158" s="44" t="s">
        <v>37</v>
      </c>
      <c r="W158" s="44" t="s">
        <v>37</v>
      </c>
      <c r="X158" s="33">
        <v>420</v>
      </c>
      <c r="Y158" s="40">
        <f t="shared" si="213"/>
        <v>4.2407108239095308</v>
      </c>
      <c r="Z158" s="40">
        <f t="shared" si="214"/>
        <v>21.142464693435951</v>
      </c>
      <c r="AA158" s="40">
        <f t="shared" si="228"/>
        <v>19.568413371911944</v>
      </c>
      <c r="AC158" s="16">
        <f t="shared" si="215"/>
        <v>0.17298163592151028</v>
      </c>
      <c r="AD158" s="26">
        <f t="shared" si="216"/>
        <v>5.7809604740571769</v>
      </c>
      <c r="AE158" s="51">
        <v>21</v>
      </c>
      <c r="AF158" s="85" t="str">
        <f t="shared" si="217"/>
        <v>NOEC</v>
      </c>
      <c r="AG158" s="9">
        <f t="shared" si="218"/>
        <v>1</v>
      </c>
      <c r="AH158" s="18">
        <f t="shared" si="219"/>
        <v>19.568413371911944</v>
      </c>
      <c r="AI158" s="88" t="str">
        <f t="shared" si="220"/>
        <v>Chronic</v>
      </c>
      <c r="AJ158" s="9">
        <f t="shared" si="221"/>
        <v>1</v>
      </c>
      <c r="AK158" s="18">
        <f t="shared" si="222"/>
        <v>19.568413371911944</v>
      </c>
      <c r="AL158" s="16"/>
      <c r="AM158" s="101" t="str">
        <f t="shared" si="223"/>
        <v>NOEC</v>
      </c>
      <c r="AN158" s="102" t="s">
        <v>356</v>
      </c>
      <c r="AO158" s="103" t="str">
        <f t="shared" si="224"/>
        <v>Chronic</v>
      </c>
      <c r="AP158" s="102" t="str">
        <f t="shared" si="229"/>
        <v>y</v>
      </c>
      <c r="AQ158" s="104" t="str">
        <f t="shared" si="225"/>
        <v>Mean total young/daphnid</v>
      </c>
      <c r="AR158" s="102" t="s">
        <v>459</v>
      </c>
      <c r="AS158" s="105">
        <f t="shared" si="226"/>
        <v>21</v>
      </c>
      <c r="AT158" s="102" t="s">
        <v>460</v>
      </c>
      <c r="AU158" s="102"/>
      <c r="AV158" s="147">
        <f t="shared" si="227"/>
        <v>19.568413371911944</v>
      </c>
      <c r="AW158" s="107">
        <f>GEOMEAN(AV158:AV158)</f>
        <v>19.568413371911944</v>
      </c>
      <c r="AX158" s="108">
        <f>MIN(AW158)</f>
        <v>19.568413371911944</v>
      </c>
      <c r="AY158" s="109"/>
    </row>
    <row r="159" spans="1:52" x14ac:dyDescent="0.2">
      <c r="A159" s="32" t="s">
        <v>87</v>
      </c>
      <c r="B159" s="33">
        <v>240</v>
      </c>
      <c r="C159" s="34" t="s">
        <v>24</v>
      </c>
      <c r="D159" s="35" t="s">
        <v>77</v>
      </c>
      <c r="E159" s="33" t="s">
        <v>61</v>
      </c>
      <c r="F159" s="33" t="s">
        <v>62</v>
      </c>
      <c r="G159" s="33" t="s">
        <v>52</v>
      </c>
      <c r="H159" s="33" t="s">
        <v>571</v>
      </c>
      <c r="I159" s="36" t="s">
        <v>78</v>
      </c>
      <c r="J159" s="36" t="s">
        <v>83</v>
      </c>
      <c r="K159" s="36" t="s">
        <v>88</v>
      </c>
      <c r="L159" s="36" t="s">
        <v>54</v>
      </c>
      <c r="M159" s="36">
        <v>21</v>
      </c>
      <c r="N159" s="33" t="s">
        <v>55</v>
      </c>
      <c r="O159" s="37" t="s">
        <v>33</v>
      </c>
      <c r="P159" s="38" t="s">
        <v>79</v>
      </c>
      <c r="Q159" s="33" t="s">
        <v>80</v>
      </c>
      <c r="R159" s="40">
        <v>19.8</v>
      </c>
      <c r="S159" s="33" t="s">
        <v>81</v>
      </c>
      <c r="T159" s="33">
        <v>8.4499999999999993</v>
      </c>
      <c r="U159" s="33">
        <v>9.9039999999999999</v>
      </c>
      <c r="V159" s="44" t="s">
        <v>37</v>
      </c>
      <c r="W159" s="44" t="s">
        <v>37</v>
      </c>
      <c r="X159" s="33">
        <v>420</v>
      </c>
      <c r="Y159" s="40">
        <f t="shared" si="213"/>
        <v>4.2407108239095308</v>
      </c>
      <c r="Z159" s="40">
        <f t="shared" si="214"/>
        <v>21.142464693435951</v>
      </c>
      <c r="AA159" s="40">
        <f t="shared" si="228"/>
        <v>19.568413371911944</v>
      </c>
      <c r="AC159" s="16">
        <f t="shared" si="215"/>
        <v>0.17298163592151028</v>
      </c>
      <c r="AD159" s="26">
        <f t="shared" si="216"/>
        <v>5.7809604740571769</v>
      </c>
      <c r="AE159" s="51">
        <v>21</v>
      </c>
      <c r="AF159" s="85" t="str">
        <f t="shared" si="217"/>
        <v>NOEC</v>
      </c>
      <c r="AG159" s="9">
        <f t="shared" si="218"/>
        <v>1</v>
      </c>
      <c r="AH159" s="18">
        <f t="shared" si="219"/>
        <v>19.568413371911944</v>
      </c>
      <c r="AI159" s="88" t="str">
        <f t="shared" si="220"/>
        <v>Chronic</v>
      </c>
      <c r="AJ159" s="9">
        <f t="shared" si="221"/>
        <v>1</v>
      </c>
      <c r="AK159" s="18">
        <f t="shared" si="222"/>
        <v>19.568413371911944</v>
      </c>
      <c r="AL159" s="16"/>
      <c r="AM159" s="132" t="str">
        <f t="shared" si="223"/>
        <v>NOEC</v>
      </c>
      <c r="AN159" s="67" t="s">
        <v>356</v>
      </c>
      <c r="AO159" s="88" t="str">
        <f t="shared" si="224"/>
        <v>Chronic</v>
      </c>
      <c r="AP159" s="67" t="str">
        <f t="shared" si="229"/>
        <v>y</v>
      </c>
      <c r="AQ159" s="69" t="str">
        <f t="shared" si="225"/>
        <v>Mean brood size/daphnid</v>
      </c>
      <c r="AR159" s="67" t="s">
        <v>475</v>
      </c>
      <c r="AS159" s="70">
        <f t="shared" si="226"/>
        <v>21</v>
      </c>
      <c r="AT159" s="67" t="s">
        <v>476</v>
      </c>
      <c r="AU159" s="67"/>
      <c r="AV159" s="82">
        <f t="shared" si="227"/>
        <v>19.568413371911944</v>
      </c>
      <c r="AW159" s="81">
        <f>GEOMEAN(AV159:AV159)</f>
        <v>19.568413371911944</v>
      </c>
      <c r="AX159" s="78">
        <f>MIN(AW159)</f>
        <v>19.568413371911944</v>
      </c>
      <c r="AY159" s="133"/>
    </row>
    <row r="160" spans="1:52" x14ac:dyDescent="0.2">
      <c r="A160" s="32" t="s">
        <v>89</v>
      </c>
      <c r="B160" s="33">
        <v>240</v>
      </c>
      <c r="C160" s="34" t="s">
        <v>24</v>
      </c>
      <c r="D160" s="35" t="s">
        <v>77</v>
      </c>
      <c r="E160" s="33" t="s">
        <v>61</v>
      </c>
      <c r="F160" s="33" t="s">
        <v>62</v>
      </c>
      <c r="G160" s="33" t="s">
        <v>52</v>
      </c>
      <c r="H160" s="33" t="s">
        <v>571</v>
      </c>
      <c r="I160" s="36" t="s">
        <v>78</v>
      </c>
      <c r="J160" s="36" t="s">
        <v>53</v>
      </c>
      <c r="K160" s="36" t="s">
        <v>53</v>
      </c>
      <c r="L160" s="36" t="s">
        <v>54</v>
      </c>
      <c r="M160" s="36">
        <v>21</v>
      </c>
      <c r="N160" s="33" t="s">
        <v>55</v>
      </c>
      <c r="O160" s="37" t="s">
        <v>33</v>
      </c>
      <c r="P160" s="38" t="s">
        <v>79</v>
      </c>
      <c r="Q160" s="33" t="s">
        <v>80</v>
      </c>
      <c r="R160" s="40">
        <v>19.8</v>
      </c>
      <c r="S160" s="33" t="s">
        <v>81</v>
      </c>
      <c r="T160" s="33">
        <v>8.4499999999999993</v>
      </c>
      <c r="U160" s="33">
        <v>9.9039999999999999</v>
      </c>
      <c r="V160" s="44" t="s">
        <v>37</v>
      </c>
      <c r="W160" s="44" t="s">
        <v>37</v>
      </c>
      <c r="X160" s="33">
        <v>420</v>
      </c>
      <c r="Y160" s="40">
        <f t="shared" si="213"/>
        <v>4.2407108239095308</v>
      </c>
      <c r="Z160" s="40">
        <f t="shared" si="214"/>
        <v>21.142464693435951</v>
      </c>
      <c r="AA160" s="40">
        <f t="shared" si="228"/>
        <v>19.568413371911944</v>
      </c>
      <c r="AC160" s="16">
        <f t="shared" si="215"/>
        <v>0.17298163592151028</v>
      </c>
      <c r="AD160" s="26">
        <f t="shared" si="216"/>
        <v>5.7809604740571769</v>
      </c>
      <c r="AE160" s="51">
        <v>21</v>
      </c>
      <c r="AF160" s="85" t="str">
        <f t="shared" si="217"/>
        <v>NOEC</v>
      </c>
      <c r="AG160" s="9">
        <f t="shared" si="218"/>
        <v>1</v>
      </c>
      <c r="AH160" s="18">
        <f t="shared" si="219"/>
        <v>19.568413371911944</v>
      </c>
      <c r="AI160" s="88" t="str">
        <f t="shared" si="220"/>
        <v>Chronic</v>
      </c>
      <c r="AJ160" s="9">
        <f t="shared" si="221"/>
        <v>1</v>
      </c>
      <c r="AK160" s="18">
        <f t="shared" si="222"/>
        <v>19.568413371911944</v>
      </c>
      <c r="AL160" s="16"/>
      <c r="AM160" s="110" t="str">
        <f t="shared" si="223"/>
        <v>NOEC</v>
      </c>
      <c r="AN160" s="111" t="s">
        <v>356</v>
      </c>
      <c r="AO160" s="112" t="str">
        <f t="shared" si="224"/>
        <v>Chronic</v>
      </c>
      <c r="AP160" s="111" t="str">
        <f t="shared" si="229"/>
        <v>y</v>
      </c>
      <c r="AQ160" s="134" t="str">
        <f t="shared" si="225"/>
        <v>Mortality</v>
      </c>
      <c r="AR160" s="111" t="s">
        <v>55</v>
      </c>
      <c r="AS160" s="114">
        <f t="shared" si="226"/>
        <v>21</v>
      </c>
      <c r="AT160" s="111" t="s">
        <v>477</v>
      </c>
      <c r="AU160" s="111"/>
      <c r="AV160" s="138">
        <f t="shared" si="227"/>
        <v>19.568413371911944</v>
      </c>
      <c r="AW160" s="135">
        <f>GEOMEAN(AV160:AV160)</f>
        <v>19.568413371911944</v>
      </c>
      <c r="AX160" s="136">
        <f>MIN(AW160)</f>
        <v>19.568413371911944</v>
      </c>
      <c r="AY160" s="137">
        <f>MIN(AX158:AX160)</f>
        <v>19.568413371911944</v>
      </c>
    </row>
    <row r="161" spans="1:52" x14ac:dyDescent="0.2">
      <c r="A161" s="19" t="s">
        <v>90</v>
      </c>
      <c r="B161" s="23">
        <v>231</v>
      </c>
      <c r="C161" s="10" t="s">
        <v>24</v>
      </c>
      <c r="D161" s="11" t="s">
        <v>91</v>
      </c>
      <c r="E161" s="9" t="s">
        <v>61</v>
      </c>
      <c r="F161" s="9" t="s">
        <v>92</v>
      </c>
      <c r="G161" s="9" t="s">
        <v>93</v>
      </c>
      <c r="H161" s="9" t="s">
        <v>571</v>
      </c>
      <c r="I161" s="9" t="s">
        <v>94</v>
      </c>
      <c r="J161" s="12" t="s">
        <v>53</v>
      </c>
      <c r="K161" s="12" t="s">
        <v>95</v>
      </c>
      <c r="L161" s="12" t="s">
        <v>54</v>
      </c>
      <c r="M161" s="9">
        <v>29</v>
      </c>
      <c r="N161" s="9" t="s">
        <v>55</v>
      </c>
      <c r="O161" s="9" t="s">
        <v>33</v>
      </c>
      <c r="P161" s="14" t="s">
        <v>96</v>
      </c>
      <c r="Q161" s="23">
        <v>15.8</v>
      </c>
      <c r="R161" s="94">
        <v>15.8</v>
      </c>
      <c r="S161" s="9">
        <v>8.3699999999999992</v>
      </c>
      <c r="T161" s="9">
        <v>8.3699999999999992</v>
      </c>
      <c r="U161" s="9">
        <v>6.3609999999999998</v>
      </c>
      <c r="V161" s="9">
        <v>0.94899999999999995</v>
      </c>
      <c r="W161" s="9">
        <v>66</v>
      </c>
      <c r="X161" s="9">
        <v>66</v>
      </c>
      <c r="Y161" s="9">
        <v>0.94899999999999995</v>
      </c>
      <c r="Z161" s="15">
        <f t="shared" si="214"/>
        <v>4.1349303568432507</v>
      </c>
      <c r="AA161" s="15">
        <f t="shared" si="228"/>
        <v>2.9571148981349356</v>
      </c>
      <c r="AC161" s="16">
        <f t="shared" si="215"/>
        <v>0.20796966871036979</v>
      </c>
      <c r="AD161" s="26">
        <f t="shared" si="216"/>
        <v>4.8083934844972802</v>
      </c>
      <c r="AE161" s="51">
        <v>21</v>
      </c>
      <c r="AF161" s="85" t="str">
        <f t="shared" si="217"/>
        <v>NOEC</v>
      </c>
      <c r="AG161" s="9">
        <f t="shared" si="218"/>
        <v>1</v>
      </c>
      <c r="AH161" s="18">
        <f t="shared" si="219"/>
        <v>2.9571148981349356</v>
      </c>
      <c r="AI161" s="88" t="str">
        <f t="shared" si="220"/>
        <v>Chronic</v>
      </c>
      <c r="AJ161" s="9">
        <f t="shared" si="221"/>
        <v>1</v>
      </c>
      <c r="AK161" s="18">
        <f t="shared" si="222"/>
        <v>2.9571148981349356</v>
      </c>
      <c r="AL161" s="16"/>
      <c r="AM161" s="127" t="str">
        <f t="shared" si="223"/>
        <v>NOEC</v>
      </c>
      <c r="AN161" s="128" t="s">
        <v>356</v>
      </c>
      <c r="AO161" s="129" t="str">
        <f t="shared" si="224"/>
        <v>Chronic</v>
      </c>
      <c r="AP161" s="128" t="str">
        <f t="shared" si="229"/>
        <v>y</v>
      </c>
      <c r="AQ161" s="130" t="str">
        <f t="shared" si="225"/>
        <v>Mortality (of juvenile Deleatidium sp.)</v>
      </c>
      <c r="AR161" s="128" t="s">
        <v>459</v>
      </c>
      <c r="AS161" s="131">
        <f t="shared" si="226"/>
        <v>29</v>
      </c>
      <c r="AT161" s="128" t="s">
        <v>460</v>
      </c>
      <c r="AU161" s="128"/>
      <c r="AV161" s="143">
        <f t="shared" si="227"/>
        <v>2.9571148981349356</v>
      </c>
      <c r="AW161" s="144">
        <f t="shared" ref="AW161:AW162" si="230">GEOMEAN(AV161:AV161)</f>
        <v>2.9571148981349356</v>
      </c>
      <c r="AX161" s="141">
        <f>MIN(AW161)</f>
        <v>2.9571148981349356</v>
      </c>
      <c r="AY161" s="142">
        <f>MIN(AX161:AX161)</f>
        <v>2.9571148981349356</v>
      </c>
    </row>
    <row r="162" spans="1:52" x14ac:dyDescent="0.2">
      <c r="A162" s="32" t="s">
        <v>97</v>
      </c>
      <c r="B162" s="44">
        <v>221</v>
      </c>
      <c r="C162" s="34" t="s">
        <v>24</v>
      </c>
      <c r="D162" s="35" t="s">
        <v>98</v>
      </c>
      <c r="E162" s="33" t="s">
        <v>61</v>
      </c>
      <c r="F162" s="33" t="s">
        <v>99</v>
      </c>
      <c r="G162" s="33" t="s">
        <v>93</v>
      </c>
      <c r="H162" s="33" t="s">
        <v>571</v>
      </c>
      <c r="I162" s="36" t="s">
        <v>100</v>
      </c>
      <c r="J162" s="36" t="s">
        <v>64</v>
      </c>
      <c r="K162" s="44" t="s">
        <v>101</v>
      </c>
      <c r="L162" s="36" t="s">
        <v>54</v>
      </c>
      <c r="M162" s="36">
        <v>10</v>
      </c>
      <c r="N162" s="33" t="s">
        <v>102</v>
      </c>
      <c r="O162" s="33" t="s">
        <v>33</v>
      </c>
      <c r="P162" s="45" t="s">
        <v>103</v>
      </c>
      <c r="Q162" s="44">
        <v>25</v>
      </c>
      <c r="R162" s="44">
        <v>25</v>
      </c>
      <c r="S162" s="33" t="s">
        <v>104</v>
      </c>
      <c r="T162" s="33">
        <v>8.0399999999999991</v>
      </c>
      <c r="U162" s="46">
        <v>5.8536524151080886</v>
      </c>
      <c r="V162" s="33">
        <v>2.5</v>
      </c>
      <c r="W162" s="33" t="s">
        <v>37</v>
      </c>
      <c r="X162" s="39">
        <f t="shared" ref="X162" si="231">(V162)*(U162/100)*1000</f>
        <v>146.3413103777022</v>
      </c>
      <c r="Y162" s="33">
        <v>2.5</v>
      </c>
      <c r="Z162" s="40">
        <f t="shared" si="214"/>
        <v>6.4367096033276967</v>
      </c>
      <c r="AA162" s="40">
        <f t="shared" si="228"/>
        <v>8.3303628012478974</v>
      </c>
      <c r="AC162" s="16">
        <f t="shared" si="215"/>
        <v>0.4446312674691093</v>
      </c>
      <c r="AD162" s="26">
        <f t="shared" si="216"/>
        <v>2.2490546058357781</v>
      </c>
      <c r="AE162" s="51">
        <v>21</v>
      </c>
      <c r="AF162" s="85" t="str">
        <f t="shared" si="217"/>
        <v>NOEC</v>
      </c>
      <c r="AG162" s="9">
        <f t="shared" si="218"/>
        <v>1</v>
      </c>
      <c r="AH162" s="18">
        <f t="shared" si="219"/>
        <v>8.3303628012478974</v>
      </c>
      <c r="AI162" s="88" t="str">
        <f t="shared" si="220"/>
        <v>Chronic</v>
      </c>
      <c r="AJ162" s="9">
        <f t="shared" si="221"/>
        <v>1</v>
      </c>
      <c r="AK162" s="18">
        <f t="shared" si="222"/>
        <v>8.3303628012478974</v>
      </c>
      <c r="AL162" s="16"/>
      <c r="AM162" s="101" t="str">
        <f t="shared" si="223"/>
        <v>NOEC</v>
      </c>
      <c r="AN162" s="102" t="s">
        <v>356</v>
      </c>
      <c r="AO162" s="103" t="str">
        <f t="shared" si="224"/>
        <v>Chronic</v>
      </c>
      <c r="AP162" s="102" t="str">
        <f t="shared" si="229"/>
        <v>y</v>
      </c>
      <c r="AQ162" s="104" t="str">
        <f t="shared" si="225"/>
        <v>Reproduction (average young per replicate)</v>
      </c>
      <c r="AR162" s="102" t="s">
        <v>459</v>
      </c>
      <c r="AS162" s="105">
        <f t="shared" si="226"/>
        <v>10</v>
      </c>
      <c r="AT162" s="102" t="s">
        <v>460</v>
      </c>
      <c r="AU162" s="102"/>
      <c r="AV162" s="147">
        <f t="shared" si="227"/>
        <v>8.3303628012478974</v>
      </c>
      <c r="AW162" s="118">
        <f t="shared" si="230"/>
        <v>8.3303628012478974</v>
      </c>
      <c r="AX162" s="73">
        <f>MIN(AW162:AW162)</f>
        <v>8.3303628012478974</v>
      </c>
      <c r="AY162" s="126">
        <f>MIN(AX162:AX162)</f>
        <v>8.3303628012478974</v>
      </c>
    </row>
    <row r="163" spans="1:52" x14ac:dyDescent="0.2">
      <c r="A163" s="19" t="s">
        <v>119</v>
      </c>
      <c r="B163" s="9">
        <v>235</v>
      </c>
      <c r="C163" s="10" t="s">
        <v>24</v>
      </c>
      <c r="D163" s="11" t="s">
        <v>120</v>
      </c>
      <c r="E163" s="9" t="s">
        <v>121</v>
      </c>
      <c r="F163" s="9" t="s">
        <v>122</v>
      </c>
      <c r="G163" s="9" t="s">
        <v>52</v>
      </c>
      <c r="H163" s="9" t="s">
        <v>571</v>
      </c>
      <c r="I163" s="12" t="s">
        <v>37</v>
      </c>
      <c r="J163" s="12" t="s">
        <v>123</v>
      </c>
      <c r="K163" s="12" t="s">
        <v>123</v>
      </c>
      <c r="L163" s="12" t="s">
        <v>54</v>
      </c>
      <c r="M163" s="12">
        <v>40</v>
      </c>
      <c r="N163" s="9" t="s">
        <v>55</v>
      </c>
      <c r="O163" s="13" t="s">
        <v>33</v>
      </c>
      <c r="P163" s="14" t="s">
        <v>56</v>
      </c>
      <c r="Q163" s="9" t="s">
        <v>438</v>
      </c>
      <c r="R163" s="9">
        <v>15.3</v>
      </c>
      <c r="S163" s="9" t="s">
        <v>124</v>
      </c>
      <c r="T163" s="9">
        <v>8.1</v>
      </c>
      <c r="U163" s="9">
        <v>3.3940000000000001</v>
      </c>
      <c r="V163" s="18">
        <v>2.1</v>
      </c>
      <c r="W163" s="9">
        <v>70</v>
      </c>
      <c r="X163" s="9">
        <v>70</v>
      </c>
      <c r="Y163" s="18">
        <v>2.1</v>
      </c>
      <c r="Z163" s="15">
        <f t="shared" si="214"/>
        <v>5.9178920071141139</v>
      </c>
      <c r="AA163" s="15">
        <f t="shared" si="228"/>
        <v>4.0979535901935158</v>
      </c>
      <c r="AC163" s="16">
        <f t="shared" si="215"/>
        <v>0.38725764492161724</v>
      </c>
      <c r="AD163" s="26">
        <f t="shared" si="216"/>
        <v>2.5822601906345959</v>
      </c>
      <c r="AE163" s="51">
        <v>21</v>
      </c>
      <c r="AF163" s="85" t="str">
        <f t="shared" si="217"/>
        <v>NOEC</v>
      </c>
      <c r="AG163" s="9">
        <f t="shared" si="218"/>
        <v>1</v>
      </c>
      <c r="AH163" s="18">
        <f t="shared" si="219"/>
        <v>4.0979535901935158</v>
      </c>
      <c r="AI163" s="88" t="str">
        <f t="shared" si="220"/>
        <v>Chronic</v>
      </c>
      <c r="AJ163" s="9">
        <f t="shared" si="221"/>
        <v>1</v>
      </c>
      <c r="AK163" s="18">
        <f t="shared" si="222"/>
        <v>4.0979535901935158</v>
      </c>
      <c r="AL163" s="16"/>
      <c r="AM163" s="127" t="str">
        <f t="shared" si="223"/>
        <v>NOEC</v>
      </c>
      <c r="AN163" s="128" t="s">
        <v>356</v>
      </c>
      <c r="AO163" s="129" t="str">
        <f t="shared" si="224"/>
        <v>Chronic</v>
      </c>
      <c r="AP163" s="128" t="str">
        <f t="shared" si="229"/>
        <v>y</v>
      </c>
      <c r="AQ163" s="130" t="str">
        <f t="shared" si="225"/>
        <v>Immobility</v>
      </c>
      <c r="AR163" s="128" t="s">
        <v>459</v>
      </c>
      <c r="AS163" s="131">
        <f t="shared" si="226"/>
        <v>40</v>
      </c>
      <c r="AT163" s="128" t="s">
        <v>460</v>
      </c>
      <c r="AU163" s="128"/>
      <c r="AV163" s="143">
        <f>AK163</f>
        <v>4.0979535901935158</v>
      </c>
      <c r="AW163" s="144">
        <f>GEOMEAN(AV163:AV163)</f>
        <v>4.0979535901935158</v>
      </c>
      <c r="AX163" s="148">
        <f>MIN(AW163)</f>
        <v>4.0979535901935158</v>
      </c>
      <c r="AY163" s="149">
        <f>MIN(AX163)</f>
        <v>4.0979535901935158</v>
      </c>
    </row>
    <row r="164" spans="1:52" x14ac:dyDescent="0.2">
      <c r="A164" s="32" t="s">
        <v>132</v>
      </c>
      <c r="B164" s="33">
        <v>254</v>
      </c>
      <c r="C164" s="34" t="s">
        <v>24</v>
      </c>
      <c r="D164" s="35" t="s">
        <v>126</v>
      </c>
      <c r="E164" s="33" t="s">
        <v>121</v>
      </c>
      <c r="F164" s="33" t="s">
        <v>127</v>
      </c>
      <c r="G164" s="33" t="s">
        <v>52</v>
      </c>
      <c r="H164" s="33" t="s">
        <v>571</v>
      </c>
      <c r="I164" s="36" t="s">
        <v>128</v>
      </c>
      <c r="J164" s="36" t="s">
        <v>53</v>
      </c>
      <c r="K164" s="36" t="s">
        <v>53</v>
      </c>
      <c r="L164" s="36" t="s">
        <v>133</v>
      </c>
      <c r="M164" s="36">
        <v>28</v>
      </c>
      <c r="N164" s="33" t="s">
        <v>55</v>
      </c>
      <c r="O164" s="37" t="s">
        <v>33</v>
      </c>
      <c r="P164" s="38" t="s">
        <v>129</v>
      </c>
      <c r="Q164" s="33" t="s">
        <v>130</v>
      </c>
      <c r="R164" s="33">
        <v>20</v>
      </c>
      <c r="S164" s="33" t="s">
        <v>131</v>
      </c>
      <c r="T164" s="33">
        <v>8.1999999999999993</v>
      </c>
      <c r="U164" s="33">
        <v>5.9020000000000001</v>
      </c>
      <c r="V164" s="33" t="s">
        <v>134</v>
      </c>
      <c r="W164" s="33" t="s">
        <v>37</v>
      </c>
      <c r="X164" s="33">
        <v>7.67</v>
      </c>
      <c r="Y164" s="33">
        <v>0.13</v>
      </c>
      <c r="Z164" s="40">
        <f t="shared" si="214"/>
        <v>0.4284575216169903</v>
      </c>
      <c r="AA164" s="40">
        <f t="shared" si="228"/>
        <v>0.40170549384971405</v>
      </c>
      <c r="AB164" t="s">
        <v>577</v>
      </c>
      <c r="AC164" s="16">
        <f t="shared" si="215"/>
        <v>0.30760968147407108</v>
      </c>
      <c r="AD164" s="26">
        <f t="shared" si="216"/>
        <v>3.2508729738543409</v>
      </c>
      <c r="AE164" s="51">
        <v>21</v>
      </c>
      <c r="AF164" s="85" t="str">
        <f t="shared" si="217"/>
        <v>IC10</v>
      </c>
      <c r="AG164" s="9">
        <f t="shared" si="218"/>
        <v>1</v>
      </c>
      <c r="AH164" s="18">
        <f t="shared" si="219"/>
        <v>0.40170549384971405</v>
      </c>
      <c r="AI164" s="88" t="str">
        <f t="shared" si="220"/>
        <v>Chronic</v>
      </c>
      <c r="AJ164" s="9">
        <f t="shared" si="221"/>
        <v>1</v>
      </c>
      <c r="AK164" s="18">
        <f t="shared" si="222"/>
        <v>0.40170549384971405</v>
      </c>
      <c r="AL164" s="16"/>
      <c r="AM164" s="132" t="str">
        <f t="shared" si="223"/>
        <v>IC10</v>
      </c>
      <c r="AN164" s="67" t="s">
        <v>356</v>
      </c>
      <c r="AO164" s="88" t="str">
        <f t="shared" si="224"/>
        <v>Chronic</v>
      </c>
      <c r="AP164" s="67" t="str">
        <f t="shared" si="229"/>
        <v>y</v>
      </c>
      <c r="AQ164" s="69" t="str">
        <f t="shared" si="225"/>
        <v>Mortality</v>
      </c>
      <c r="AR164" s="67" t="s">
        <v>459</v>
      </c>
      <c r="AS164" s="70">
        <f t="shared" si="226"/>
        <v>28</v>
      </c>
      <c r="AT164" s="67" t="s">
        <v>460</v>
      </c>
      <c r="AU164" s="67"/>
      <c r="AV164" s="151">
        <f>AK164</f>
        <v>0.40170549384971405</v>
      </c>
      <c r="AW164" s="95">
        <f>GEOMEAN(AV164:AV164)</f>
        <v>0.40170549384971405</v>
      </c>
      <c r="AX164" s="96">
        <f>MIN(AW164)</f>
        <v>0.40170549384971405</v>
      </c>
      <c r="AY164" s="153">
        <f>MIN(AX164)</f>
        <v>0.40170549384971405</v>
      </c>
    </row>
    <row r="165" spans="1:52" x14ac:dyDescent="0.2">
      <c r="A165" s="19" t="s">
        <v>144</v>
      </c>
      <c r="B165" s="9">
        <v>253</v>
      </c>
      <c r="C165" s="10" t="s">
        <v>24</v>
      </c>
      <c r="D165" s="11" t="s">
        <v>139</v>
      </c>
      <c r="E165" s="9" t="s">
        <v>121</v>
      </c>
      <c r="F165" s="9" t="s">
        <v>127</v>
      </c>
      <c r="G165" s="9" t="s">
        <v>52</v>
      </c>
      <c r="H165" s="9" t="s">
        <v>571</v>
      </c>
      <c r="I165" s="12" t="s">
        <v>140</v>
      </c>
      <c r="J165" s="12" t="s">
        <v>53</v>
      </c>
      <c r="K165" s="12" t="s">
        <v>53</v>
      </c>
      <c r="L165" s="12" t="s">
        <v>31</v>
      </c>
      <c r="M165" s="12">
        <v>28</v>
      </c>
      <c r="N165" s="9" t="s">
        <v>55</v>
      </c>
      <c r="O165" s="13" t="s">
        <v>33</v>
      </c>
      <c r="P165" s="14" t="s">
        <v>141</v>
      </c>
      <c r="Q165" s="9">
        <v>20</v>
      </c>
      <c r="R165" s="9">
        <v>20</v>
      </c>
      <c r="S165" s="9" t="s">
        <v>142</v>
      </c>
      <c r="T165" s="9">
        <v>8.26</v>
      </c>
      <c r="U165" s="9">
        <v>6.718</v>
      </c>
      <c r="V165" s="9">
        <v>0.54</v>
      </c>
      <c r="W165" s="9" t="s">
        <v>37</v>
      </c>
      <c r="X165" s="9">
        <v>36.299999999999997</v>
      </c>
      <c r="Y165" s="9">
        <v>0.54</v>
      </c>
      <c r="Z165" s="15">
        <f t="shared" si="214"/>
        <v>1.9610361754850452</v>
      </c>
      <c r="AA165" s="15">
        <f t="shared" si="228"/>
        <v>1.8385930123420116</v>
      </c>
      <c r="AC165" s="16">
        <f t="shared" si="215"/>
        <v>0.26791683248190312</v>
      </c>
      <c r="AD165" s="26">
        <f t="shared" si="216"/>
        <v>3.7325015779572066</v>
      </c>
      <c r="AE165" s="51">
        <v>21</v>
      </c>
      <c r="AF165" s="85" t="str">
        <f t="shared" si="217"/>
        <v>EC10</v>
      </c>
      <c r="AG165" s="9">
        <f t="shared" si="218"/>
        <v>1</v>
      </c>
      <c r="AH165" s="18">
        <f t="shared" si="219"/>
        <v>1.8385930123420116</v>
      </c>
      <c r="AI165" s="88" t="str">
        <f t="shared" si="220"/>
        <v>Chronic</v>
      </c>
      <c r="AJ165" s="9">
        <f t="shared" si="221"/>
        <v>1</v>
      </c>
      <c r="AK165" s="18">
        <f t="shared" si="222"/>
        <v>1.8385930123420116</v>
      </c>
      <c r="AM165" s="101" t="str">
        <f t="shared" si="223"/>
        <v>EC10</v>
      </c>
      <c r="AN165" s="102" t="s">
        <v>356</v>
      </c>
      <c r="AO165" s="103" t="str">
        <f t="shared" si="224"/>
        <v>Chronic</v>
      </c>
      <c r="AP165" s="102" t="str">
        <f t="shared" si="229"/>
        <v>y</v>
      </c>
      <c r="AQ165" s="104" t="str">
        <f t="shared" si="225"/>
        <v>Mortality</v>
      </c>
      <c r="AR165" s="196" t="s">
        <v>459</v>
      </c>
      <c r="AS165" s="105">
        <f t="shared" si="226"/>
        <v>28</v>
      </c>
      <c r="AT165" s="158" t="s">
        <v>460</v>
      </c>
      <c r="AU165" s="197"/>
      <c r="AV165" s="154">
        <f t="shared" ref="AV165:AV168" si="232">AK165</f>
        <v>1.8385930123420116</v>
      </c>
      <c r="AW165" s="155"/>
      <c r="AX165" s="197"/>
      <c r="AY165" s="198"/>
    </row>
    <row r="166" spans="1:52" x14ac:dyDescent="0.2">
      <c r="A166" s="19" t="s">
        <v>146</v>
      </c>
      <c r="B166" s="9">
        <v>254</v>
      </c>
      <c r="C166" s="10" t="s">
        <v>24</v>
      </c>
      <c r="D166" s="11" t="s">
        <v>139</v>
      </c>
      <c r="E166" s="9" t="s">
        <v>121</v>
      </c>
      <c r="F166" s="9" t="s">
        <v>127</v>
      </c>
      <c r="G166" s="9" t="s">
        <v>52</v>
      </c>
      <c r="H166" s="9" t="s">
        <v>571</v>
      </c>
      <c r="I166" s="12" t="s">
        <v>140</v>
      </c>
      <c r="J166" s="12" t="s">
        <v>53</v>
      </c>
      <c r="K166" s="12" t="s">
        <v>53</v>
      </c>
      <c r="L166" s="12" t="s">
        <v>133</v>
      </c>
      <c r="M166" s="12">
        <v>28</v>
      </c>
      <c r="N166" s="9" t="s">
        <v>55</v>
      </c>
      <c r="O166" s="13" t="s">
        <v>33</v>
      </c>
      <c r="P166" s="14" t="s">
        <v>129</v>
      </c>
      <c r="Q166" s="9" t="s">
        <v>130</v>
      </c>
      <c r="R166" s="9">
        <v>20</v>
      </c>
      <c r="S166" s="9" t="s">
        <v>131</v>
      </c>
      <c r="T166" s="9">
        <v>8.1999999999999993</v>
      </c>
      <c r="U166" s="9">
        <v>5.9020000000000001</v>
      </c>
      <c r="V166" s="9" t="s">
        <v>134</v>
      </c>
      <c r="W166" s="9" t="s">
        <v>37</v>
      </c>
      <c r="X166" s="9">
        <v>7.67</v>
      </c>
      <c r="Y166" s="9">
        <v>0.13</v>
      </c>
      <c r="Z166" s="15">
        <f t="shared" si="214"/>
        <v>0.4284575216169903</v>
      </c>
      <c r="AA166" s="15">
        <f t="shared" si="228"/>
        <v>0.40170549384971405</v>
      </c>
      <c r="AB166" t="s">
        <v>577</v>
      </c>
      <c r="AC166" s="16">
        <f t="shared" si="215"/>
        <v>0.30760968147407108</v>
      </c>
      <c r="AD166" s="26">
        <f t="shared" si="216"/>
        <v>3.2508729738543409</v>
      </c>
      <c r="AE166" s="51">
        <v>21</v>
      </c>
      <c r="AF166" s="85" t="str">
        <f t="shared" si="217"/>
        <v>IC10</v>
      </c>
      <c r="AG166" s="9">
        <f t="shared" si="218"/>
        <v>1</v>
      </c>
      <c r="AH166" s="18">
        <f t="shared" si="219"/>
        <v>0.40170549384971405</v>
      </c>
      <c r="AI166" s="88" t="str">
        <f t="shared" si="220"/>
        <v>Chronic</v>
      </c>
      <c r="AJ166" s="9">
        <f t="shared" si="221"/>
        <v>1</v>
      </c>
      <c r="AK166" s="18">
        <f t="shared" si="222"/>
        <v>0.40170549384971405</v>
      </c>
      <c r="AL166" s="16"/>
      <c r="AM166" s="110" t="str">
        <f t="shared" si="223"/>
        <v>IC10</v>
      </c>
      <c r="AN166" s="111" t="s">
        <v>356</v>
      </c>
      <c r="AO166" s="112" t="str">
        <f t="shared" si="224"/>
        <v>Chronic</v>
      </c>
      <c r="AP166" s="111" t="str">
        <f t="shared" si="229"/>
        <v>y</v>
      </c>
      <c r="AQ166" s="134" t="str">
        <f t="shared" si="225"/>
        <v>Mortality</v>
      </c>
      <c r="AR166" s="199" t="s">
        <v>459</v>
      </c>
      <c r="AS166" s="114">
        <f t="shared" si="226"/>
        <v>28</v>
      </c>
      <c r="AT166" s="199" t="s">
        <v>460</v>
      </c>
      <c r="AU166" s="200"/>
      <c r="AV166" s="152">
        <f t="shared" si="232"/>
        <v>0.40170549384971405</v>
      </c>
      <c r="AW166" s="140">
        <f>GEOMEAN(AV165:AV166)</f>
        <v>0.85940264952551848</v>
      </c>
      <c r="AX166" s="141">
        <f>MIN(AW166)</f>
        <v>0.85940264952551848</v>
      </c>
      <c r="AY166" s="142">
        <f>MIN(AX166:AX166)</f>
        <v>0.85940264952551848</v>
      </c>
    </row>
    <row r="167" spans="1:52" x14ac:dyDescent="0.2">
      <c r="A167" s="32" t="s">
        <v>148</v>
      </c>
      <c r="B167" s="33">
        <v>256</v>
      </c>
      <c r="C167" s="38" t="s">
        <v>24</v>
      </c>
      <c r="D167" s="35" t="s">
        <v>149</v>
      </c>
      <c r="E167" s="33" t="s">
        <v>121</v>
      </c>
      <c r="F167" s="33" t="s">
        <v>127</v>
      </c>
      <c r="G167" s="33" t="s">
        <v>52</v>
      </c>
      <c r="H167" s="33" t="s">
        <v>571</v>
      </c>
      <c r="I167" s="33" t="s">
        <v>37</v>
      </c>
      <c r="J167" s="36" t="s">
        <v>53</v>
      </c>
      <c r="K167" s="36" t="s">
        <v>53</v>
      </c>
      <c r="L167" s="36" t="s">
        <v>54</v>
      </c>
      <c r="M167" s="36">
        <v>6</v>
      </c>
      <c r="N167" s="33" t="s">
        <v>102</v>
      </c>
      <c r="O167" s="37" t="s">
        <v>33</v>
      </c>
      <c r="P167" s="38" t="s">
        <v>150</v>
      </c>
      <c r="Q167" s="33" t="s">
        <v>151</v>
      </c>
      <c r="R167" s="33">
        <v>21.8</v>
      </c>
      <c r="S167" s="33" t="s">
        <v>152</v>
      </c>
      <c r="T167" s="33">
        <v>7.8</v>
      </c>
      <c r="U167" s="33">
        <v>2.7679999999999998</v>
      </c>
      <c r="V167" s="33" t="s">
        <v>37</v>
      </c>
      <c r="W167" s="33">
        <v>30</v>
      </c>
      <c r="X167" s="33">
        <v>30</v>
      </c>
      <c r="Y167" s="40">
        <f t="shared" ref="Y167" si="233">X167/((U167/100)*1000)</f>
        <v>1.0838150289017343</v>
      </c>
      <c r="Z167" s="40">
        <f t="shared" si="214"/>
        <v>2.0127302212112239</v>
      </c>
      <c r="AA167" s="40">
        <f t="shared" si="228"/>
        <v>2.1192664729465784</v>
      </c>
      <c r="AB167" s="16"/>
      <c r="AC167" s="16">
        <f t="shared" si="215"/>
        <v>0.77268058509570214</v>
      </c>
      <c r="AD167" s="26">
        <f t="shared" si="216"/>
        <v>1.2941958414499863</v>
      </c>
      <c r="AE167" s="51">
        <v>21</v>
      </c>
      <c r="AF167" s="85" t="str">
        <f t="shared" si="217"/>
        <v>NOEC</v>
      </c>
      <c r="AG167" s="9">
        <f t="shared" si="218"/>
        <v>1</v>
      </c>
      <c r="AH167" s="18">
        <f t="shared" si="219"/>
        <v>2.1192664729465784</v>
      </c>
      <c r="AI167" s="88" t="str">
        <f t="shared" si="220"/>
        <v>Chronic</v>
      </c>
      <c r="AJ167" s="9">
        <f t="shared" si="221"/>
        <v>1</v>
      </c>
      <c r="AK167" s="18">
        <f t="shared" si="222"/>
        <v>2.1192664729465784</v>
      </c>
      <c r="AL167" s="16"/>
      <c r="AM167" s="101" t="str">
        <f t="shared" si="223"/>
        <v>NOEC</v>
      </c>
      <c r="AN167" s="102" t="s">
        <v>356</v>
      </c>
      <c r="AO167" s="103" t="str">
        <f t="shared" si="224"/>
        <v>Chronic</v>
      </c>
      <c r="AP167" s="102" t="str">
        <f t="shared" si="229"/>
        <v>y</v>
      </c>
      <c r="AQ167" s="104" t="str">
        <f t="shared" si="225"/>
        <v>Mortality</v>
      </c>
      <c r="AR167" s="102" t="s">
        <v>459</v>
      </c>
      <c r="AS167" s="105">
        <f t="shared" si="226"/>
        <v>6</v>
      </c>
      <c r="AT167" s="102" t="s">
        <v>460</v>
      </c>
      <c r="AU167" s="102"/>
      <c r="AV167" s="154">
        <f t="shared" si="232"/>
        <v>2.1192664729465784</v>
      </c>
      <c r="AW167" s="118">
        <f>GEOMEAN(AV167)</f>
        <v>2.1192664729465784</v>
      </c>
      <c r="AX167" s="119">
        <f>MIN(AW167:AW167)</f>
        <v>2.1192664729465784</v>
      </c>
      <c r="AY167" s="126">
        <f>MIN(AX167)</f>
        <v>2.1192664729465784</v>
      </c>
    </row>
    <row r="168" spans="1:52" x14ac:dyDescent="0.2">
      <c r="A168" s="8" t="s">
        <v>168</v>
      </c>
      <c r="B168" s="9">
        <v>242</v>
      </c>
      <c r="C168" s="10" t="s">
        <v>24</v>
      </c>
      <c r="D168" s="11" t="s">
        <v>155</v>
      </c>
      <c r="E168" s="9" t="s">
        <v>121</v>
      </c>
      <c r="F168" s="9" t="s">
        <v>127</v>
      </c>
      <c r="G168" s="9" t="s">
        <v>52</v>
      </c>
      <c r="H168" s="9" t="s">
        <v>571</v>
      </c>
      <c r="I168" s="12" t="s">
        <v>156</v>
      </c>
      <c r="J168" s="12" t="s">
        <v>136</v>
      </c>
      <c r="K168" s="12" t="s">
        <v>169</v>
      </c>
      <c r="L168" s="12" t="s">
        <v>54</v>
      </c>
      <c r="M168" s="12">
        <v>60</v>
      </c>
      <c r="N168" s="9" t="s">
        <v>55</v>
      </c>
      <c r="O168" s="13" t="s">
        <v>33</v>
      </c>
      <c r="P168" s="14" t="s">
        <v>157</v>
      </c>
      <c r="Q168" s="9">
        <v>20</v>
      </c>
      <c r="R168" s="9">
        <v>20</v>
      </c>
      <c r="S168" s="28" t="s">
        <v>158</v>
      </c>
      <c r="T168" s="28">
        <v>7.73</v>
      </c>
      <c r="U168" s="26" t="s">
        <v>170</v>
      </c>
      <c r="V168" s="9">
        <v>0.65</v>
      </c>
      <c r="W168" s="9">
        <v>12</v>
      </c>
      <c r="X168" s="9">
        <v>12</v>
      </c>
      <c r="Y168" s="9">
        <v>0.65</v>
      </c>
      <c r="Z168" s="15">
        <f t="shared" si="214"/>
        <v>1.1105489745328638</v>
      </c>
      <c r="AA168" s="15">
        <f t="shared" si="228"/>
        <v>1.0412085253525101</v>
      </c>
      <c r="AC168" s="16">
        <f t="shared" si="215"/>
        <v>0.90782053017818432</v>
      </c>
      <c r="AD168" s="26">
        <f t="shared" si="216"/>
        <v>1.1015393095414168</v>
      </c>
      <c r="AE168" s="51">
        <v>21</v>
      </c>
      <c r="AF168" s="85" t="str">
        <f t="shared" si="217"/>
        <v>NOEC</v>
      </c>
      <c r="AG168" s="9">
        <f t="shared" si="218"/>
        <v>1</v>
      </c>
      <c r="AH168" s="18">
        <f t="shared" si="219"/>
        <v>1.0412085253525101</v>
      </c>
      <c r="AI168" s="88" t="str">
        <f t="shared" si="220"/>
        <v>Chronic</v>
      </c>
      <c r="AJ168" s="9">
        <f t="shared" si="221"/>
        <v>1</v>
      </c>
      <c r="AK168" s="18">
        <f t="shared" si="222"/>
        <v>1.0412085253525101</v>
      </c>
      <c r="AL168" s="16"/>
      <c r="AM168" s="110" t="str">
        <f t="shared" si="223"/>
        <v>NOEC</v>
      </c>
      <c r="AN168" s="111" t="s">
        <v>356</v>
      </c>
      <c r="AO168" s="112" t="str">
        <f t="shared" si="224"/>
        <v>Chronic</v>
      </c>
      <c r="AP168" s="111" t="str">
        <f t="shared" si="229"/>
        <v>y</v>
      </c>
      <c r="AQ168" s="134" t="str">
        <f t="shared" si="225"/>
        <v>Length</v>
      </c>
      <c r="AR168" s="111" t="s">
        <v>475</v>
      </c>
      <c r="AS168" s="114">
        <f t="shared" si="226"/>
        <v>60</v>
      </c>
      <c r="AT168" s="111" t="s">
        <v>476</v>
      </c>
      <c r="AU168" s="111"/>
      <c r="AV168" s="152">
        <f t="shared" si="232"/>
        <v>1.0412085253525101</v>
      </c>
      <c r="AW168" s="140">
        <f>GEOMEAN(AV168)</f>
        <v>1.0412085253525101</v>
      </c>
      <c r="AX168" s="141">
        <f>MIN(AW168)</f>
        <v>1.0412085253525101</v>
      </c>
      <c r="AY168" s="142">
        <f>MIN(AX168:AX168)</f>
        <v>1.0412085253525101</v>
      </c>
    </row>
    <row r="169" spans="1:52" x14ac:dyDescent="0.2">
      <c r="A169" s="32" t="s">
        <v>176</v>
      </c>
      <c r="B169" s="33">
        <v>254</v>
      </c>
      <c r="C169" s="34" t="s">
        <v>24</v>
      </c>
      <c r="D169" s="35" t="s">
        <v>172</v>
      </c>
      <c r="E169" s="33" t="s">
        <v>121</v>
      </c>
      <c r="F169" s="33" t="s">
        <v>127</v>
      </c>
      <c r="G169" s="33" t="s">
        <v>52</v>
      </c>
      <c r="H169" s="33" t="s">
        <v>571</v>
      </c>
      <c r="I169" s="36" t="s">
        <v>128</v>
      </c>
      <c r="J169" s="36" t="s">
        <v>177</v>
      </c>
      <c r="K169" s="36" t="s">
        <v>137</v>
      </c>
      <c r="L169" s="36" t="s">
        <v>133</v>
      </c>
      <c r="M169" s="36">
        <v>28</v>
      </c>
      <c r="N169" s="33" t="s">
        <v>55</v>
      </c>
      <c r="O169" s="37" t="s">
        <v>33</v>
      </c>
      <c r="P169" s="38" t="s">
        <v>129</v>
      </c>
      <c r="Q169" s="33" t="s">
        <v>130</v>
      </c>
      <c r="R169" s="33">
        <v>20</v>
      </c>
      <c r="S169" s="33" t="s">
        <v>131</v>
      </c>
      <c r="T169" s="33">
        <v>8.1999999999999993</v>
      </c>
      <c r="U169" s="33">
        <v>5.9020000000000001</v>
      </c>
      <c r="V169" s="33" t="s">
        <v>175</v>
      </c>
      <c r="W169" s="33" t="s">
        <v>37</v>
      </c>
      <c r="X169" s="33">
        <v>23.6</v>
      </c>
      <c r="Y169" s="33">
        <v>0.4</v>
      </c>
      <c r="Z169" s="40">
        <f t="shared" si="214"/>
        <v>1.3183308357445855</v>
      </c>
      <c r="AA169" s="40">
        <f t="shared" si="228"/>
        <v>1.2360169041529667</v>
      </c>
      <c r="AB169" t="s">
        <v>577</v>
      </c>
      <c r="AC169" s="16">
        <f t="shared" si="215"/>
        <v>0.30760968147407108</v>
      </c>
      <c r="AD169" s="26">
        <f t="shared" si="216"/>
        <v>3.2508729738543409</v>
      </c>
      <c r="AE169" s="51">
        <v>21</v>
      </c>
      <c r="AF169" s="85" t="str">
        <f t="shared" si="217"/>
        <v>IC10</v>
      </c>
      <c r="AG169" s="9">
        <f t="shared" si="218"/>
        <v>1</v>
      </c>
      <c r="AH169" s="18">
        <f t="shared" si="219"/>
        <v>1.2360169041529667</v>
      </c>
      <c r="AI169" s="88" t="str">
        <f t="shared" si="220"/>
        <v>Chronic</v>
      </c>
      <c r="AJ169" s="9">
        <f t="shared" si="221"/>
        <v>1</v>
      </c>
      <c r="AK169" s="18">
        <f t="shared" si="222"/>
        <v>1.2360169041529667</v>
      </c>
      <c r="AL169" s="16"/>
      <c r="AM169" s="110" t="str">
        <f t="shared" si="223"/>
        <v>IC10</v>
      </c>
      <c r="AN169" s="111" t="s">
        <v>356</v>
      </c>
      <c r="AO169" s="112" t="str">
        <f t="shared" si="224"/>
        <v>Chronic</v>
      </c>
      <c r="AP169" s="111" t="str">
        <f t="shared" si="229"/>
        <v>y</v>
      </c>
      <c r="AQ169" s="134" t="str">
        <f t="shared" si="225"/>
        <v>Shell length</v>
      </c>
      <c r="AR169" s="111" t="s">
        <v>473</v>
      </c>
      <c r="AS169" s="114">
        <f t="shared" si="226"/>
        <v>28</v>
      </c>
      <c r="AT169" s="111" t="s">
        <v>474</v>
      </c>
      <c r="AU169" s="111"/>
      <c r="AV169" s="152">
        <f>AK169</f>
        <v>1.2360169041529667</v>
      </c>
      <c r="AW169" s="140">
        <f>GEOMEAN(AV169)</f>
        <v>1.2360169041529667</v>
      </c>
      <c r="AX169" s="141">
        <f>MIN(AW169)</f>
        <v>1.2360169041529667</v>
      </c>
      <c r="AY169" s="142">
        <f>MIN(AX169:AX169)</f>
        <v>1.2360169041529667</v>
      </c>
    </row>
    <row r="170" spans="1:52" x14ac:dyDescent="0.2">
      <c r="A170" s="193" t="s">
        <v>609</v>
      </c>
    </row>
    <row r="171" spans="1:52" x14ac:dyDescent="0.2">
      <c r="A171" s="32" t="s">
        <v>48</v>
      </c>
      <c r="B171" s="33">
        <v>236</v>
      </c>
      <c r="C171" s="34" t="s">
        <v>24</v>
      </c>
      <c r="D171" s="35" t="s">
        <v>49</v>
      </c>
      <c r="E171" s="33" t="s">
        <v>50</v>
      </c>
      <c r="F171" s="33" t="s">
        <v>51</v>
      </c>
      <c r="G171" s="33" t="s">
        <v>52</v>
      </c>
      <c r="H171" s="33" t="s">
        <v>571</v>
      </c>
      <c r="I171" s="36" t="s">
        <v>37</v>
      </c>
      <c r="J171" s="36" t="s">
        <v>53</v>
      </c>
      <c r="K171" s="36" t="s">
        <v>53</v>
      </c>
      <c r="L171" s="36" t="s">
        <v>54</v>
      </c>
      <c r="M171" s="36">
        <v>30</v>
      </c>
      <c r="N171" s="33" t="s">
        <v>55</v>
      </c>
      <c r="O171" s="37" t="s">
        <v>33</v>
      </c>
      <c r="P171" s="38" t="s">
        <v>56</v>
      </c>
      <c r="Q171" s="33" t="s">
        <v>57</v>
      </c>
      <c r="R171" s="40">
        <v>15.1</v>
      </c>
      <c r="S171" s="33" t="s">
        <v>58</v>
      </c>
      <c r="T171" s="33">
        <v>8.11</v>
      </c>
      <c r="U171" s="33">
        <v>3.42</v>
      </c>
      <c r="V171" s="33" t="s">
        <v>37</v>
      </c>
      <c r="W171" s="33">
        <v>20</v>
      </c>
      <c r="X171" s="40">
        <v>20</v>
      </c>
      <c r="Y171" s="40">
        <f t="shared" ref="Y171:Y175" si="234">X171/((U171/100)*1000)</f>
        <v>0.58479532163742687</v>
      </c>
      <c r="Z171" s="40">
        <f t="shared" ref="Z171:Z184" si="235">Y171/((0.0278/(1+AC171))+(1.1994/(1+AD171)))</f>
        <v>1.6734482467670493</v>
      </c>
      <c r="AA171" s="40">
        <f>POWER(10,LOG(Z171)-(-0.028*(R171-AE171)))</f>
        <v>1.0725370064550324</v>
      </c>
      <c r="AC171" s="16">
        <f t="shared" ref="AC171:AC184" si="236">POWER(10,7.688-T171)</f>
        <v>0.37844258471709358</v>
      </c>
      <c r="AD171" s="26">
        <f t="shared" ref="AD171:AD184" si="237">POWER(10,T171-7.688)</f>
        <v>2.6424087573219448</v>
      </c>
      <c r="AE171" s="51">
        <v>22</v>
      </c>
      <c r="AF171" s="85" t="str">
        <f t="shared" ref="AF171:AF184" si="238">L171</f>
        <v>NOEC</v>
      </c>
      <c r="AG171" s="9">
        <f t="shared" ref="AG171:AG184" si="239">VLOOKUP(AF171,$BD$6:$BE$17,2,FALSE)</f>
        <v>1</v>
      </c>
      <c r="AH171" s="18">
        <f t="shared" ref="AH171:AH184" si="240">AA171/AG171</f>
        <v>1.0725370064550324</v>
      </c>
      <c r="AI171" s="88" t="str">
        <f t="shared" ref="AI171:AI184" si="241">O171</f>
        <v>Chronic</v>
      </c>
      <c r="AJ171" s="9">
        <f t="shared" ref="AJ171:AJ184" si="242">VLOOKUP(AI171,$BD$19:$BF$20,2,FALSE)</f>
        <v>1</v>
      </c>
      <c r="AK171" s="18">
        <f t="shared" ref="AK171:AK184" si="243">AH171/AJ171</f>
        <v>1.0725370064550324</v>
      </c>
      <c r="AL171" s="16"/>
      <c r="AM171" s="127" t="str">
        <f t="shared" ref="AM171:AM184" si="244">L171</f>
        <v>NOEC</v>
      </c>
      <c r="AN171" s="128" t="s">
        <v>356</v>
      </c>
      <c r="AO171" s="129" t="str">
        <f t="shared" ref="AO171:AO184" si="245">O171</f>
        <v>Chronic</v>
      </c>
      <c r="AP171" s="128" t="str">
        <f>IF(AO171="chronic","y","n")</f>
        <v>y</v>
      </c>
      <c r="AQ171" s="130" t="str">
        <f t="shared" ref="AQ171:AQ184" si="246">K171</f>
        <v>Mortality</v>
      </c>
      <c r="AR171" s="128" t="s">
        <v>459</v>
      </c>
      <c r="AS171" s="131">
        <f t="shared" ref="AS171:AS184" si="247">M171</f>
        <v>30</v>
      </c>
      <c r="AT171" s="128" t="s">
        <v>460</v>
      </c>
      <c r="AU171" s="128"/>
      <c r="AV171" s="189">
        <f t="shared" ref="AV171:AV177" si="248">AK171</f>
        <v>1.0725370064550324</v>
      </c>
      <c r="AW171" s="144">
        <f>GEOMEAN(AV171)</f>
        <v>1.0725370064550324</v>
      </c>
      <c r="AX171" s="148">
        <f>MIN(AW171)</f>
        <v>1.0725370064550324</v>
      </c>
      <c r="AY171" s="149">
        <f>MIN(AX171)</f>
        <v>1.0725370064550324</v>
      </c>
      <c r="AZ171" s="206" t="str">
        <f>A170</f>
        <v>22°C</v>
      </c>
    </row>
    <row r="172" spans="1:52" x14ac:dyDescent="0.2">
      <c r="A172" s="19" t="s">
        <v>59</v>
      </c>
      <c r="B172" s="9">
        <v>245</v>
      </c>
      <c r="C172" s="10" t="s">
        <v>24</v>
      </c>
      <c r="D172" s="11" t="s">
        <v>60</v>
      </c>
      <c r="E172" s="20" t="s">
        <v>61</v>
      </c>
      <c r="F172" s="9" t="s">
        <v>62</v>
      </c>
      <c r="G172" s="9" t="s">
        <v>52</v>
      </c>
      <c r="H172" s="9" t="s">
        <v>571</v>
      </c>
      <c r="I172" s="12" t="s">
        <v>63</v>
      </c>
      <c r="J172" s="12" t="s">
        <v>64</v>
      </c>
      <c r="K172" s="12" t="s">
        <v>64</v>
      </c>
      <c r="L172" s="12" t="s">
        <v>54</v>
      </c>
      <c r="M172" s="12">
        <v>7</v>
      </c>
      <c r="N172" s="9" t="s">
        <v>55</v>
      </c>
      <c r="O172" s="21" t="s">
        <v>33</v>
      </c>
      <c r="P172" s="14" t="s">
        <v>65</v>
      </c>
      <c r="Q172" s="9">
        <v>25</v>
      </c>
      <c r="R172" s="9">
        <v>25</v>
      </c>
      <c r="S172" s="22">
        <v>8</v>
      </c>
      <c r="T172" s="22">
        <v>8</v>
      </c>
      <c r="U172" s="20">
        <v>5.3659999999999997</v>
      </c>
      <c r="V172" s="20" t="s">
        <v>37</v>
      </c>
      <c r="W172" s="20">
        <v>680</v>
      </c>
      <c r="X172" s="9">
        <v>680</v>
      </c>
      <c r="Y172" s="27">
        <f t="shared" si="234"/>
        <v>12.672381662318301</v>
      </c>
      <c r="Z172" s="15">
        <f t="shared" si="235"/>
        <v>30.774279778328605</v>
      </c>
      <c r="AA172" s="15">
        <f t="shared" ref="AA172:AA184" si="249">POWER(10,LOG(Z172)-(-0.028*(R172-AE172)))</f>
        <v>37.341167964113758</v>
      </c>
      <c r="AC172" s="16">
        <f t="shared" si="236"/>
        <v>0.48752849010338595</v>
      </c>
      <c r="AD172" s="26">
        <f t="shared" si="237"/>
        <v>2.051162178825567</v>
      </c>
      <c r="AE172" s="51">
        <v>22</v>
      </c>
      <c r="AF172" s="85" t="str">
        <f t="shared" si="238"/>
        <v>NOEC</v>
      </c>
      <c r="AG172" s="9">
        <f t="shared" si="239"/>
        <v>1</v>
      </c>
      <c r="AH172" s="18">
        <f t="shared" si="240"/>
        <v>37.341167964113758</v>
      </c>
      <c r="AI172" s="88" t="str">
        <f t="shared" si="241"/>
        <v>Chronic</v>
      </c>
      <c r="AJ172" s="9">
        <f t="shared" si="242"/>
        <v>1</v>
      </c>
      <c r="AK172" s="18">
        <f t="shared" si="243"/>
        <v>37.341167964113758</v>
      </c>
      <c r="AL172" s="16"/>
      <c r="AM172" s="101" t="str">
        <f t="shared" si="244"/>
        <v>NOEC</v>
      </c>
      <c r="AN172" s="102" t="s">
        <v>356</v>
      </c>
      <c r="AO172" s="103" t="str">
        <f t="shared" si="245"/>
        <v>Chronic</v>
      </c>
      <c r="AP172" s="102" t="str">
        <f t="shared" ref="AP172:AP184" si="250">IF(AO172="chronic","y","n")</f>
        <v>y</v>
      </c>
      <c r="AQ172" s="104" t="str">
        <f t="shared" si="246"/>
        <v>Reproduction</v>
      </c>
      <c r="AR172" s="102" t="s">
        <v>459</v>
      </c>
      <c r="AS172" s="105">
        <f t="shared" si="247"/>
        <v>7</v>
      </c>
      <c r="AT172" s="102" t="s">
        <v>460</v>
      </c>
      <c r="AU172" s="102"/>
      <c r="AV172" s="106">
        <f t="shared" si="248"/>
        <v>37.341167964113758</v>
      </c>
      <c r="AW172" s="107">
        <f>GEOMEAN(AV172:AV172)</f>
        <v>37.341167964113758</v>
      </c>
      <c r="AX172" s="108">
        <f>MIN(AW172:AW172)</f>
        <v>37.341167964113758</v>
      </c>
      <c r="AY172" s="109">
        <f>MIN(AX172)</f>
        <v>37.341167964113758</v>
      </c>
    </row>
    <row r="173" spans="1:52" x14ac:dyDescent="0.2">
      <c r="A173" s="32" t="s">
        <v>82</v>
      </c>
      <c r="B173" s="33">
        <v>240</v>
      </c>
      <c r="C173" s="34" t="s">
        <v>24</v>
      </c>
      <c r="D173" s="35" t="s">
        <v>77</v>
      </c>
      <c r="E173" s="33" t="s">
        <v>61</v>
      </c>
      <c r="F173" s="33" t="s">
        <v>62</v>
      </c>
      <c r="G173" s="33" t="s">
        <v>52</v>
      </c>
      <c r="H173" s="33" t="s">
        <v>571</v>
      </c>
      <c r="I173" s="36" t="s">
        <v>78</v>
      </c>
      <c r="J173" s="36" t="s">
        <v>83</v>
      </c>
      <c r="K173" s="36" t="s">
        <v>84</v>
      </c>
      <c r="L173" s="36" t="s">
        <v>54</v>
      </c>
      <c r="M173" s="36">
        <v>21</v>
      </c>
      <c r="N173" s="33" t="s">
        <v>55</v>
      </c>
      <c r="O173" s="37" t="s">
        <v>33</v>
      </c>
      <c r="P173" s="38" t="s">
        <v>79</v>
      </c>
      <c r="Q173" s="33" t="s">
        <v>80</v>
      </c>
      <c r="R173" s="40">
        <v>19.8</v>
      </c>
      <c r="S173" s="33" t="s">
        <v>81</v>
      </c>
      <c r="T173" s="33">
        <v>8.4499999999999993</v>
      </c>
      <c r="U173" s="33">
        <v>9.9039999999999999</v>
      </c>
      <c r="V173" s="44" t="s">
        <v>37</v>
      </c>
      <c r="W173" s="44" t="s">
        <v>37</v>
      </c>
      <c r="X173" s="33">
        <v>420</v>
      </c>
      <c r="Y173" s="40">
        <f t="shared" si="234"/>
        <v>4.2407108239095308</v>
      </c>
      <c r="Z173" s="40">
        <f t="shared" si="235"/>
        <v>21.142464693435951</v>
      </c>
      <c r="AA173" s="40">
        <f t="shared" si="249"/>
        <v>18.346600913324998</v>
      </c>
      <c r="AC173" s="16">
        <f t="shared" si="236"/>
        <v>0.17298163592151028</v>
      </c>
      <c r="AD173" s="26">
        <f t="shared" si="237"/>
        <v>5.7809604740571769</v>
      </c>
      <c r="AE173" s="51">
        <v>22</v>
      </c>
      <c r="AF173" s="85" t="str">
        <f t="shared" si="238"/>
        <v>NOEC</v>
      </c>
      <c r="AG173" s="9">
        <f t="shared" si="239"/>
        <v>1</v>
      </c>
      <c r="AH173" s="18">
        <f t="shared" si="240"/>
        <v>18.346600913324998</v>
      </c>
      <c r="AI173" s="88" t="str">
        <f t="shared" si="241"/>
        <v>Chronic</v>
      </c>
      <c r="AJ173" s="9">
        <f t="shared" si="242"/>
        <v>1</v>
      </c>
      <c r="AK173" s="18">
        <f t="shared" si="243"/>
        <v>18.346600913324998</v>
      </c>
      <c r="AL173" s="16"/>
      <c r="AM173" s="101" t="str">
        <f t="shared" si="244"/>
        <v>NOEC</v>
      </c>
      <c r="AN173" s="102" t="s">
        <v>356</v>
      </c>
      <c r="AO173" s="103" t="str">
        <f t="shared" si="245"/>
        <v>Chronic</v>
      </c>
      <c r="AP173" s="102" t="str">
        <f t="shared" si="250"/>
        <v>y</v>
      </c>
      <c r="AQ173" s="104" t="str">
        <f t="shared" si="246"/>
        <v>Mean total young/daphnid</v>
      </c>
      <c r="AR173" s="102" t="s">
        <v>459</v>
      </c>
      <c r="AS173" s="105">
        <f t="shared" si="247"/>
        <v>21</v>
      </c>
      <c r="AT173" s="102" t="s">
        <v>460</v>
      </c>
      <c r="AU173" s="102"/>
      <c r="AV173" s="147">
        <f t="shared" si="248"/>
        <v>18.346600913324998</v>
      </c>
      <c r="AW173" s="107">
        <f>GEOMEAN(AV173:AV173)</f>
        <v>18.346600913324998</v>
      </c>
      <c r="AX173" s="108">
        <f>MIN(AW173)</f>
        <v>18.346600913324998</v>
      </c>
      <c r="AY173" s="109"/>
    </row>
    <row r="174" spans="1:52" x14ac:dyDescent="0.2">
      <c r="A174" s="32" t="s">
        <v>87</v>
      </c>
      <c r="B174" s="33">
        <v>240</v>
      </c>
      <c r="C174" s="34" t="s">
        <v>24</v>
      </c>
      <c r="D174" s="35" t="s">
        <v>77</v>
      </c>
      <c r="E174" s="33" t="s">
        <v>61</v>
      </c>
      <c r="F174" s="33" t="s">
        <v>62</v>
      </c>
      <c r="G174" s="33" t="s">
        <v>52</v>
      </c>
      <c r="H174" s="33" t="s">
        <v>571</v>
      </c>
      <c r="I174" s="36" t="s">
        <v>78</v>
      </c>
      <c r="J174" s="36" t="s">
        <v>83</v>
      </c>
      <c r="K174" s="36" t="s">
        <v>88</v>
      </c>
      <c r="L174" s="36" t="s">
        <v>54</v>
      </c>
      <c r="M174" s="36">
        <v>21</v>
      </c>
      <c r="N174" s="33" t="s">
        <v>55</v>
      </c>
      <c r="O174" s="37" t="s">
        <v>33</v>
      </c>
      <c r="P174" s="38" t="s">
        <v>79</v>
      </c>
      <c r="Q174" s="33" t="s">
        <v>80</v>
      </c>
      <c r="R174" s="40">
        <v>19.8</v>
      </c>
      <c r="S174" s="33" t="s">
        <v>81</v>
      </c>
      <c r="T174" s="33">
        <v>8.4499999999999993</v>
      </c>
      <c r="U174" s="33">
        <v>9.9039999999999999</v>
      </c>
      <c r="V174" s="44" t="s">
        <v>37</v>
      </c>
      <c r="W174" s="44" t="s">
        <v>37</v>
      </c>
      <c r="X174" s="33">
        <v>420</v>
      </c>
      <c r="Y174" s="40">
        <f t="shared" si="234"/>
        <v>4.2407108239095308</v>
      </c>
      <c r="Z174" s="40">
        <f t="shared" si="235"/>
        <v>21.142464693435951</v>
      </c>
      <c r="AA174" s="40">
        <f t="shared" si="249"/>
        <v>18.346600913324998</v>
      </c>
      <c r="AC174" s="16">
        <f t="shared" si="236"/>
        <v>0.17298163592151028</v>
      </c>
      <c r="AD174" s="26">
        <f t="shared" si="237"/>
        <v>5.7809604740571769</v>
      </c>
      <c r="AE174" s="51">
        <v>22</v>
      </c>
      <c r="AF174" s="85" t="str">
        <f t="shared" si="238"/>
        <v>NOEC</v>
      </c>
      <c r="AG174" s="9">
        <f t="shared" si="239"/>
        <v>1</v>
      </c>
      <c r="AH174" s="18">
        <f t="shared" si="240"/>
        <v>18.346600913324998</v>
      </c>
      <c r="AI174" s="88" t="str">
        <f t="shared" si="241"/>
        <v>Chronic</v>
      </c>
      <c r="AJ174" s="9">
        <f t="shared" si="242"/>
        <v>1</v>
      </c>
      <c r="AK174" s="18">
        <f t="shared" si="243"/>
        <v>18.346600913324998</v>
      </c>
      <c r="AL174" s="16"/>
      <c r="AM174" s="132" t="str">
        <f t="shared" si="244"/>
        <v>NOEC</v>
      </c>
      <c r="AN174" s="67" t="s">
        <v>356</v>
      </c>
      <c r="AO174" s="88" t="str">
        <f t="shared" si="245"/>
        <v>Chronic</v>
      </c>
      <c r="AP174" s="67" t="str">
        <f t="shared" si="250"/>
        <v>y</v>
      </c>
      <c r="AQ174" s="69" t="str">
        <f t="shared" si="246"/>
        <v>Mean brood size/daphnid</v>
      </c>
      <c r="AR174" s="67" t="s">
        <v>475</v>
      </c>
      <c r="AS174" s="70">
        <f t="shared" si="247"/>
        <v>21</v>
      </c>
      <c r="AT174" s="67" t="s">
        <v>476</v>
      </c>
      <c r="AU174" s="67"/>
      <c r="AV174" s="82">
        <f t="shared" si="248"/>
        <v>18.346600913324998</v>
      </c>
      <c r="AW174" s="81">
        <f>GEOMEAN(AV174:AV174)</f>
        <v>18.346600913324998</v>
      </c>
      <c r="AX174" s="78">
        <f>MIN(AW174)</f>
        <v>18.346600913324998</v>
      </c>
      <c r="AY174" s="133"/>
    </row>
    <row r="175" spans="1:52" x14ac:dyDescent="0.2">
      <c r="A175" s="32" t="s">
        <v>89</v>
      </c>
      <c r="B175" s="33">
        <v>240</v>
      </c>
      <c r="C175" s="34" t="s">
        <v>24</v>
      </c>
      <c r="D175" s="35" t="s">
        <v>77</v>
      </c>
      <c r="E175" s="33" t="s">
        <v>61</v>
      </c>
      <c r="F175" s="33" t="s">
        <v>62</v>
      </c>
      <c r="G175" s="33" t="s">
        <v>52</v>
      </c>
      <c r="H175" s="33" t="s">
        <v>571</v>
      </c>
      <c r="I175" s="36" t="s">
        <v>78</v>
      </c>
      <c r="J175" s="36" t="s">
        <v>53</v>
      </c>
      <c r="K175" s="36" t="s">
        <v>53</v>
      </c>
      <c r="L175" s="36" t="s">
        <v>54</v>
      </c>
      <c r="M175" s="36">
        <v>21</v>
      </c>
      <c r="N175" s="33" t="s">
        <v>55</v>
      </c>
      <c r="O175" s="37" t="s">
        <v>33</v>
      </c>
      <c r="P175" s="38" t="s">
        <v>79</v>
      </c>
      <c r="Q175" s="33" t="s">
        <v>80</v>
      </c>
      <c r="R175" s="40">
        <v>19.8</v>
      </c>
      <c r="S175" s="33" t="s">
        <v>81</v>
      </c>
      <c r="T175" s="33">
        <v>8.4499999999999993</v>
      </c>
      <c r="U175" s="33">
        <v>9.9039999999999999</v>
      </c>
      <c r="V175" s="44" t="s">
        <v>37</v>
      </c>
      <c r="W175" s="44" t="s">
        <v>37</v>
      </c>
      <c r="X175" s="33">
        <v>420</v>
      </c>
      <c r="Y175" s="40">
        <f t="shared" si="234"/>
        <v>4.2407108239095308</v>
      </c>
      <c r="Z175" s="40">
        <f t="shared" si="235"/>
        <v>21.142464693435951</v>
      </c>
      <c r="AA175" s="40">
        <f t="shared" si="249"/>
        <v>18.346600913324998</v>
      </c>
      <c r="AC175" s="16">
        <f t="shared" si="236"/>
        <v>0.17298163592151028</v>
      </c>
      <c r="AD175" s="26">
        <f t="shared" si="237"/>
        <v>5.7809604740571769</v>
      </c>
      <c r="AE175" s="51">
        <v>22</v>
      </c>
      <c r="AF175" s="85" t="str">
        <f t="shared" si="238"/>
        <v>NOEC</v>
      </c>
      <c r="AG175" s="9">
        <f t="shared" si="239"/>
        <v>1</v>
      </c>
      <c r="AH175" s="18">
        <f t="shared" si="240"/>
        <v>18.346600913324998</v>
      </c>
      <c r="AI175" s="88" t="str">
        <f t="shared" si="241"/>
        <v>Chronic</v>
      </c>
      <c r="AJ175" s="9">
        <f t="shared" si="242"/>
        <v>1</v>
      </c>
      <c r="AK175" s="18">
        <f t="shared" si="243"/>
        <v>18.346600913324998</v>
      </c>
      <c r="AL175" s="16"/>
      <c r="AM175" s="110" t="str">
        <f t="shared" si="244"/>
        <v>NOEC</v>
      </c>
      <c r="AN175" s="111" t="s">
        <v>356</v>
      </c>
      <c r="AO175" s="112" t="str">
        <f t="shared" si="245"/>
        <v>Chronic</v>
      </c>
      <c r="AP175" s="111" t="str">
        <f t="shared" si="250"/>
        <v>y</v>
      </c>
      <c r="AQ175" s="134" t="str">
        <f t="shared" si="246"/>
        <v>Mortality</v>
      </c>
      <c r="AR175" s="111" t="s">
        <v>55</v>
      </c>
      <c r="AS175" s="114">
        <f t="shared" si="247"/>
        <v>21</v>
      </c>
      <c r="AT175" s="111" t="s">
        <v>477</v>
      </c>
      <c r="AU175" s="111"/>
      <c r="AV175" s="138">
        <f t="shared" si="248"/>
        <v>18.346600913324998</v>
      </c>
      <c r="AW175" s="135">
        <f>GEOMEAN(AV175:AV175)</f>
        <v>18.346600913324998</v>
      </c>
      <c r="AX175" s="136">
        <f>MIN(AW175)</f>
        <v>18.346600913324998</v>
      </c>
      <c r="AY175" s="137">
        <f>MIN(AX173:AX175)</f>
        <v>18.346600913324998</v>
      </c>
    </row>
    <row r="176" spans="1:52" x14ac:dyDescent="0.2">
      <c r="A176" s="19" t="s">
        <v>90</v>
      </c>
      <c r="B176" s="23">
        <v>231</v>
      </c>
      <c r="C176" s="10" t="s">
        <v>24</v>
      </c>
      <c r="D176" s="11" t="s">
        <v>91</v>
      </c>
      <c r="E176" s="9" t="s">
        <v>61</v>
      </c>
      <c r="F176" s="9" t="s">
        <v>92</v>
      </c>
      <c r="G176" s="9" t="s">
        <v>93</v>
      </c>
      <c r="H176" s="9" t="s">
        <v>571</v>
      </c>
      <c r="I176" s="9" t="s">
        <v>94</v>
      </c>
      <c r="J176" s="12" t="s">
        <v>53</v>
      </c>
      <c r="K176" s="12" t="s">
        <v>95</v>
      </c>
      <c r="L176" s="12" t="s">
        <v>54</v>
      </c>
      <c r="M176" s="9">
        <v>29</v>
      </c>
      <c r="N176" s="9" t="s">
        <v>55</v>
      </c>
      <c r="O176" s="9" t="s">
        <v>33</v>
      </c>
      <c r="P176" s="14" t="s">
        <v>96</v>
      </c>
      <c r="Q176" s="23">
        <v>15.8</v>
      </c>
      <c r="R176" s="94">
        <v>15.8</v>
      </c>
      <c r="S176" s="9">
        <v>8.3699999999999992</v>
      </c>
      <c r="T176" s="9">
        <v>8.3699999999999992</v>
      </c>
      <c r="U176" s="9">
        <v>6.3609999999999998</v>
      </c>
      <c r="V176" s="9">
        <v>0.94899999999999995</v>
      </c>
      <c r="W176" s="9">
        <v>66</v>
      </c>
      <c r="X176" s="9">
        <v>66</v>
      </c>
      <c r="Y176" s="9">
        <v>0.94899999999999995</v>
      </c>
      <c r="Z176" s="15">
        <f t="shared" si="235"/>
        <v>4.1349303568432507</v>
      </c>
      <c r="AA176" s="15">
        <f t="shared" si="249"/>
        <v>2.7724785786058099</v>
      </c>
      <c r="AC176" s="16">
        <f t="shared" si="236"/>
        <v>0.20796966871036979</v>
      </c>
      <c r="AD176" s="26">
        <f t="shared" si="237"/>
        <v>4.8083934844972802</v>
      </c>
      <c r="AE176" s="51">
        <v>22</v>
      </c>
      <c r="AF176" s="85" t="str">
        <f t="shared" si="238"/>
        <v>NOEC</v>
      </c>
      <c r="AG176" s="9">
        <f t="shared" si="239"/>
        <v>1</v>
      </c>
      <c r="AH176" s="18">
        <f t="shared" si="240"/>
        <v>2.7724785786058099</v>
      </c>
      <c r="AI176" s="88" t="str">
        <f t="shared" si="241"/>
        <v>Chronic</v>
      </c>
      <c r="AJ176" s="9">
        <f t="shared" si="242"/>
        <v>1</v>
      </c>
      <c r="AK176" s="18">
        <f t="shared" si="243"/>
        <v>2.7724785786058099</v>
      </c>
      <c r="AL176" s="16"/>
      <c r="AM176" s="127" t="str">
        <f t="shared" si="244"/>
        <v>NOEC</v>
      </c>
      <c r="AN176" s="128" t="s">
        <v>356</v>
      </c>
      <c r="AO176" s="129" t="str">
        <f t="shared" si="245"/>
        <v>Chronic</v>
      </c>
      <c r="AP176" s="128" t="str">
        <f t="shared" si="250"/>
        <v>y</v>
      </c>
      <c r="AQ176" s="130" t="str">
        <f t="shared" si="246"/>
        <v>Mortality (of juvenile Deleatidium sp.)</v>
      </c>
      <c r="AR176" s="128" t="s">
        <v>459</v>
      </c>
      <c r="AS176" s="131">
        <f t="shared" si="247"/>
        <v>29</v>
      </c>
      <c r="AT176" s="128" t="s">
        <v>460</v>
      </c>
      <c r="AU176" s="128"/>
      <c r="AV176" s="143">
        <f t="shared" si="248"/>
        <v>2.7724785786058099</v>
      </c>
      <c r="AW176" s="144">
        <f t="shared" ref="AW176:AW177" si="251">GEOMEAN(AV176:AV176)</f>
        <v>2.7724785786058099</v>
      </c>
      <c r="AX176" s="141">
        <f>MIN(AW176)</f>
        <v>2.7724785786058099</v>
      </c>
      <c r="AY176" s="142">
        <f>MIN(AX176:AX176)</f>
        <v>2.7724785786058099</v>
      </c>
    </row>
    <row r="177" spans="1:52" x14ac:dyDescent="0.2">
      <c r="A177" s="32" t="s">
        <v>97</v>
      </c>
      <c r="B177" s="44">
        <v>221</v>
      </c>
      <c r="C177" s="34" t="s">
        <v>24</v>
      </c>
      <c r="D177" s="35" t="s">
        <v>98</v>
      </c>
      <c r="E177" s="33" t="s">
        <v>61</v>
      </c>
      <c r="F177" s="33" t="s">
        <v>99</v>
      </c>
      <c r="G177" s="33" t="s">
        <v>93</v>
      </c>
      <c r="H177" s="33" t="s">
        <v>571</v>
      </c>
      <c r="I177" s="36" t="s">
        <v>100</v>
      </c>
      <c r="J177" s="36" t="s">
        <v>64</v>
      </c>
      <c r="K177" s="44" t="s">
        <v>101</v>
      </c>
      <c r="L177" s="36" t="s">
        <v>54</v>
      </c>
      <c r="M177" s="36">
        <v>10</v>
      </c>
      <c r="N177" s="33" t="s">
        <v>102</v>
      </c>
      <c r="O177" s="33" t="s">
        <v>33</v>
      </c>
      <c r="P177" s="45" t="s">
        <v>103</v>
      </c>
      <c r="Q177" s="44">
        <v>25</v>
      </c>
      <c r="R177" s="44">
        <v>25</v>
      </c>
      <c r="S177" s="33" t="s">
        <v>104</v>
      </c>
      <c r="T177" s="33">
        <v>8.0399999999999991</v>
      </c>
      <c r="U177" s="46">
        <v>5.8536524151080886</v>
      </c>
      <c r="V177" s="33">
        <v>2.5</v>
      </c>
      <c r="W177" s="33" t="s">
        <v>37</v>
      </c>
      <c r="X177" s="39">
        <f t="shared" ref="X177" si="252">(V177)*(U177/100)*1000</f>
        <v>146.3413103777022</v>
      </c>
      <c r="Y177" s="33">
        <v>2.5</v>
      </c>
      <c r="Z177" s="40">
        <f t="shared" si="235"/>
        <v>6.4367096033276967</v>
      </c>
      <c r="AA177" s="40">
        <f t="shared" si="249"/>
        <v>7.8102316663586757</v>
      </c>
      <c r="AC177" s="16">
        <f t="shared" si="236"/>
        <v>0.4446312674691093</v>
      </c>
      <c r="AD177" s="26">
        <f t="shared" si="237"/>
        <v>2.2490546058357781</v>
      </c>
      <c r="AE177" s="51">
        <v>22</v>
      </c>
      <c r="AF177" s="85" t="str">
        <f t="shared" si="238"/>
        <v>NOEC</v>
      </c>
      <c r="AG177" s="9">
        <f t="shared" si="239"/>
        <v>1</v>
      </c>
      <c r="AH177" s="18">
        <f t="shared" si="240"/>
        <v>7.8102316663586757</v>
      </c>
      <c r="AI177" s="88" t="str">
        <f t="shared" si="241"/>
        <v>Chronic</v>
      </c>
      <c r="AJ177" s="9">
        <f t="shared" si="242"/>
        <v>1</v>
      </c>
      <c r="AK177" s="18">
        <f t="shared" si="243"/>
        <v>7.8102316663586757</v>
      </c>
      <c r="AL177" s="16"/>
      <c r="AM177" s="101" t="str">
        <f t="shared" si="244"/>
        <v>NOEC</v>
      </c>
      <c r="AN177" s="102" t="s">
        <v>356</v>
      </c>
      <c r="AO177" s="103" t="str">
        <f t="shared" si="245"/>
        <v>Chronic</v>
      </c>
      <c r="AP177" s="102" t="str">
        <f t="shared" si="250"/>
        <v>y</v>
      </c>
      <c r="AQ177" s="104" t="str">
        <f t="shared" si="246"/>
        <v>Reproduction (average young per replicate)</v>
      </c>
      <c r="AR177" s="102" t="s">
        <v>459</v>
      </c>
      <c r="AS177" s="105">
        <f t="shared" si="247"/>
        <v>10</v>
      </c>
      <c r="AT177" s="102" t="s">
        <v>460</v>
      </c>
      <c r="AU177" s="102"/>
      <c r="AV177" s="147">
        <f t="shared" si="248"/>
        <v>7.8102316663586757</v>
      </c>
      <c r="AW177" s="118">
        <f t="shared" si="251"/>
        <v>7.8102316663586757</v>
      </c>
      <c r="AX177" s="73">
        <f>MIN(AW177:AW177)</f>
        <v>7.8102316663586757</v>
      </c>
      <c r="AY177" s="126">
        <f>MIN(AX177:AX177)</f>
        <v>7.8102316663586757</v>
      </c>
    </row>
    <row r="178" spans="1:52" x14ac:dyDescent="0.2">
      <c r="A178" s="19" t="s">
        <v>119</v>
      </c>
      <c r="B178" s="9">
        <v>235</v>
      </c>
      <c r="C178" s="10" t="s">
        <v>24</v>
      </c>
      <c r="D178" s="11" t="s">
        <v>120</v>
      </c>
      <c r="E178" s="9" t="s">
        <v>121</v>
      </c>
      <c r="F178" s="9" t="s">
        <v>122</v>
      </c>
      <c r="G178" s="9" t="s">
        <v>52</v>
      </c>
      <c r="H178" s="9" t="s">
        <v>571</v>
      </c>
      <c r="I178" s="12" t="s">
        <v>37</v>
      </c>
      <c r="J178" s="12" t="s">
        <v>123</v>
      </c>
      <c r="K178" s="12" t="s">
        <v>123</v>
      </c>
      <c r="L178" s="12" t="s">
        <v>54</v>
      </c>
      <c r="M178" s="12">
        <v>40</v>
      </c>
      <c r="N178" s="9" t="s">
        <v>55</v>
      </c>
      <c r="O178" s="13" t="s">
        <v>33</v>
      </c>
      <c r="P178" s="14" t="s">
        <v>56</v>
      </c>
      <c r="Q178" s="9" t="s">
        <v>438</v>
      </c>
      <c r="R178" s="9">
        <v>15.3</v>
      </c>
      <c r="S178" s="9" t="s">
        <v>124</v>
      </c>
      <c r="T178" s="9">
        <v>8.1</v>
      </c>
      <c r="U178" s="9">
        <v>3.3940000000000001</v>
      </c>
      <c r="V178" s="18">
        <v>2.1</v>
      </c>
      <c r="W178" s="9">
        <v>70</v>
      </c>
      <c r="X178" s="9">
        <v>70</v>
      </c>
      <c r="Y178" s="18">
        <v>2.1</v>
      </c>
      <c r="Z178" s="15">
        <f t="shared" si="235"/>
        <v>5.9178920071141139</v>
      </c>
      <c r="AA178" s="15">
        <f t="shared" si="249"/>
        <v>3.8420855923109487</v>
      </c>
      <c r="AC178" s="16">
        <f t="shared" si="236"/>
        <v>0.38725764492161724</v>
      </c>
      <c r="AD178" s="26">
        <f t="shared" si="237"/>
        <v>2.5822601906345959</v>
      </c>
      <c r="AE178" s="51">
        <v>22</v>
      </c>
      <c r="AF178" s="85" t="str">
        <f t="shared" si="238"/>
        <v>NOEC</v>
      </c>
      <c r="AG178" s="9">
        <f t="shared" si="239"/>
        <v>1</v>
      </c>
      <c r="AH178" s="18">
        <f t="shared" si="240"/>
        <v>3.8420855923109487</v>
      </c>
      <c r="AI178" s="88" t="str">
        <f t="shared" si="241"/>
        <v>Chronic</v>
      </c>
      <c r="AJ178" s="9">
        <f t="shared" si="242"/>
        <v>1</v>
      </c>
      <c r="AK178" s="18">
        <f t="shared" si="243"/>
        <v>3.8420855923109487</v>
      </c>
      <c r="AL178" s="16"/>
      <c r="AM178" s="127" t="str">
        <f t="shared" si="244"/>
        <v>NOEC</v>
      </c>
      <c r="AN178" s="128" t="s">
        <v>356</v>
      </c>
      <c r="AO178" s="129" t="str">
        <f t="shared" si="245"/>
        <v>Chronic</v>
      </c>
      <c r="AP178" s="128" t="str">
        <f t="shared" si="250"/>
        <v>y</v>
      </c>
      <c r="AQ178" s="130" t="str">
        <f t="shared" si="246"/>
        <v>Immobility</v>
      </c>
      <c r="AR178" s="128" t="s">
        <v>459</v>
      </c>
      <c r="AS178" s="131">
        <f t="shared" si="247"/>
        <v>40</v>
      </c>
      <c r="AT178" s="128" t="s">
        <v>460</v>
      </c>
      <c r="AU178" s="128"/>
      <c r="AV178" s="143">
        <f>AK178</f>
        <v>3.8420855923109487</v>
      </c>
      <c r="AW178" s="144">
        <f>GEOMEAN(AV178:AV178)</f>
        <v>3.8420855923109487</v>
      </c>
      <c r="AX178" s="148">
        <f>MIN(AW178)</f>
        <v>3.8420855923109487</v>
      </c>
      <c r="AY178" s="149">
        <f>MIN(AX178)</f>
        <v>3.8420855923109487</v>
      </c>
    </row>
    <row r="179" spans="1:52" x14ac:dyDescent="0.2">
      <c r="A179" s="32" t="s">
        <v>132</v>
      </c>
      <c r="B179" s="33">
        <v>254</v>
      </c>
      <c r="C179" s="34" t="s">
        <v>24</v>
      </c>
      <c r="D179" s="35" t="s">
        <v>126</v>
      </c>
      <c r="E179" s="33" t="s">
        <v>121</v>
      </c>
      <c r="F179" s="33" t="s">
        <v>127</v>
      </c>
      <c r="G179" s="33" t="s">
        <v>52</v>
      </c>
      <c r="H179" s="33" t="s">
        <v>571</v>
      </c>
      <c r="I179" s="36" t="s">
        <v>128</v>
      </c>
      <c r="J179" s="36" t="s">
        <v>53</v>
      </c>
      <c r="K179" s="36" t="s">
        <v>53</v>
      </c>
      <c r="L179" s="36" t="s">
        <v>133</v>
      </c>
      <c r="M179" s="36">
        <v>28</v>
      </c>
      <c r="N179" s="33" t="s">
        <v>55</v>
      </c>
      <c r="O179" s="37" t="s">
        <v>33</v>
      </c>
      <c r="P179" s="38" t="s">
        <v>129</v>
      </c>
      <c r="Q179" s="33" t="s">
        <v>130</v>
      </c>
      <c r="R179" s="33">
        <v>20</v>
      </c>
      <c r="S179" s="33" t="s">
        <v>131</v>
      </c>
      <c r="T179" s="33">
        <v>8.1999999999999993</v>
      </c>
      <c r="U179" s="33">
        <v>5.9020000000000001</v>
      </c>
      <c r="V179" s="33" t="s">
        <v>134</v>
      </c>
      <c r="W179" s="33" t="s">
        <v>37</v>
      </c>
      <c r="X179" s="33">
        <v>7.67</v>
      </c>
      <c r="Y179" s="33">
        <v>0.13</v>
      </c>
      <c r="Z179" s="40">
        <f t="shared" si="235"/>
        <v>0.4284575216169903</v>
      </c>
      <c r="AA179" s="40">
        <f t="shared" si="249"/>
        <v>0.3766238090068898</v>
      </c>
      <c r="AB179" t="s">
        <v>577</v>
      </c>
      <c r="AC179" s="16">
        <f t="shared" si="236"/>
        <v>0.30760968147407108</v>
      </c>
      <c r="AD179" s="26">
        <f t="shared" si="237"/>
        <v>3.2508729738543409</v>
      </c>
      <c r="AE179" s="51">
        <v>22</v>
      </c>
      <c r="AF179" s="85" t="str">
        <f t="shared" si="238"/>
        <v>IC10</v>
      </c>
      <c r="AG179" s="9">
        <f t="shared" si="239"/>
        <v>1</v>
      </c>
      <c r="AH179" s="18">
        <f t="shared" si="240"/>
        <v>0.3766238090068898</v>
      </c>
      <c r="AI179" s="88" t="str">
        <f t="shared" si="241"/>
        <v>Chronic</v>
      </c>
      <c r="AJ179" s="9">
        <f t="shared" si="242"/>
        <v>1</v>
      </c>
      <c r="AK179" s="18">
        <f t="shared" si="243"/>
        <v>0.3766238090068898</v>
      </c>
      <c r="AL179" s="16"/>
      <c r="AM179" s="132" t="str">
        <f t="shared" si="244"/>
        <v>IC10</v>
      </c>
      <c r="AN179" s="67" t="s">
        <v>356</v>
      </c>
      <c r="AO179" s="88" t="str">
        <f t="shared" si="245"/>
        <v>Chronic</v>
      </c>
      <c r="AP179" s="67" t="str">
        <f t="shared" si="250"/>
        <v>y</v>
      </c>
      <c r="AQ179" s="69" t="str">
        <f t="shared" si="246"/>
        <v>Mortality</v>
      </c>
      <c r="AR179" s="67" t="s">
        <v>459</v>
      </c>
      <c r="AS179" s="70">
        <f t="shared" si="247"/>
        <v>28</v>
      </c>
      <c r="AT179" s="67" t="s">
        <v>460</v>
      </c>
      <c r="AU179" s="67"/>
      <c r="AV179" s="151">
        <f>AK179</f>
        <v>0.3766238090068898</v>
      </c>
      <c r="AW179" s="95">
        <f>GEOMEAN(AV179:AV179)</f>
        <v>0.3766238090068898</v>
      </c>
      <c r="AX179" s="96">
        <f>MIN(AW179)</f>
        <v>0.3766238090068898</v>
      </c>
      <c r="AY179" s="153">
        <f>MIN(AX179)</f>
        <v>0.3766238090068898</v>
      </c>
    </row>
    <row r="180" spans="1:52" x14ac:dyDescent="0.2">
      <c r="A180" s="19" t="s">
        <v>144</v>
      </c>
      <c r="B180" s="9">
        <v>253</v>
      </c>
      <c r="C180" s="10" t="s">
        <v>24</v>
      </c>
      <c r="D180" s="11" t="s">
        <v>139</v>
      </c>
      <c r="E180" s="9" t="s">
        <v>121</v>
      </c>
      <c r="F180" s="9" t="s">
        <v>127</v>
      </c>
      <c r="G180" s="9" t="s">
        <v>52</v>
      </c>
      <c r="H180" s="9" t="s">
        <v>571</v>
      </c>
      <c r="I180" s="12" t="s">
        <v>140</v>
      </c>
      <c r="J180" s="12" t="s">
        <v>53</v>
      </c>
      <c r="K180" s="12" t="s">
        <v>53</v>
      </c>
      <c r="L180" s="12" t="s">
        <v>31</v>
      </c>
      <c r="M180" s="12">
        <v>28</v>
      </c>
      <c r="N180" s="9" t="s">
        <v>55</v>
      </c>
      <c r="O180" s="13" t="s">
        <v>33</v>
      </c>
      <c r="P180" s="14" t="s">
        <v>141</v>
      </c>
      <c r="Q180" s="9">
        <v>20</v>
      </c>
      <c r="R180" s="9">
        <v>20</v>
      </c>
      <c r="S180" s="9" t="s">
        <v>142</v>
      </c>
      <c r="T180" s="9">
        <v>8.26</v>
      </c>
      <c r="U180" s="9">
        <v>6.718</v>
      </c>
      <c r="V180" s="9">
        <v>0.54</v>
      </c>
      <c r="W180" s="9" t="s">
        <v>37</v>
      </c>
      <c r="X180" s="9">
        <v>36.299999999999997</v>
      </c>
      <c r="Y180" s="9">
        <v>0.54</v>
      </c>
      <c r="Z180" s="15">
        <f t="shared" si="235"/>
        <v>1.9610361754850452</v>
      </c>
      <c r="AA180" s="15">
        <f t="shared" si="249"/>
        <v>1.7237949545712763</v>
      </c>
      <c r="AC180" s="16">
        <f t="shared" si="236"/>
        <v>0.26791683248190312</v>
      </c>
      <c r="AD180" s="26">
        <f t="shared" si="237"/>
        <v>3.7325015779572066</v>
      </c>
      <c r="AE180" s="51">
        <v>22</v>
      </c>
      <c r="AF180" s="85" t="str">
        <f t="shared" si="238"/>
        <v>EC10</v>
      </c>
      <c r="AG180" s="9">
        <f t="shared" si="239"/>
        <v>1</v>
      </c>
      <c r="AH180" s="18">
        <f t="shared" si="240"/>
        <v>1.7237949545712763</v>
      </c>
      <c r="AI180" s="88" t="str">
        <f t="shared" si="241"/>
        <v>Chronic</v>
      </c>
      <c r="AJ180" s="9">
        <f t="shared" si="242"/>
        <v>1</v>
      </c>
      <c r="AK180" s="18">
        <f t="shared" si="243"/>
        <v>1.7237949545712763</v>
      </c>
      <c r="AM180" s="101" t="str">
        <f t="shared" si="244"/>
        <v>EC10</v>
      </c>
      <c r="AN180" s="102" t="s">
        <v>356</v>
      </c>
      <c r="AO180" s="103" t="str">
        <f t="shared" si="245"/>
        <v>Chronic</v>
      </c>
      <c r="AP180" s="102" t="str">
        <f t="shared" si="250"/>
        <v>y</v>
      </c>
      <c r="AQ180" s="104" t="str">
        <f t="shared" si="246"/>
        <v>Mortality</v>
      </c>
      <c r="AR180" s="196" t="s">
        <v>459</v>
      </c>
      <c r="AS180" s="105">
        <f t="shared" si="247"/>
        <v>28</v>
      </c>
      <c r="AT180" s="158" t="s">
        <v>460</v>
      </c>
      <c r="AU180" s="197"/>
      <c r="AV180" s="154">
        <f t="shared" ref="AV180:AV183" si="253">AK180</f>
        <v>1.7237949545712763</v>
      </c>
      <c r="AW180" s="155"/>
      <c r="AX180" s="197"/>
      <c r="AY180" s="198"/>
    </row>
    <row r="181" spans="1:52" x14ac:dyDescent="0.2">
      <c r="A181" s="19" t="s">
        <v>146</v>
      </c>
      <c r="B181" s="9">
        <v>254</v>
      </c>
      <c r="C181" s="10" t="s">
        <v>24</v>
      </c>
      <c r="D181" s="11" t="s">
        <v>139</v>
      </c>
      <c r="E181" s="9" t="s">
        <v>121</v>
      </c>
      <c r="F181" s="9" t="s">
        <v>127</v>
      </c>
      <c r="G181" s="9" t="s">
        <v>52</v>
      </c>
      <c r="H181" s="9" t="s">
        <v>571</v>
      </c>
      <c r="I181" s="12" t="s">
        <v>140</v>
      </c>
      <c r="J181" s="12" t="s">
        <v>53</v>
      </c>
      <c r="K181" s="12" t="s">
        <v>53</v>
      </c>
      <c r="L181" s="12" t="s">
        <v>133</v>
      </c>
      <c r="M181" s="12">
        <v>28</v>
      </c>
      <c r="N181" s="9" t="s">
        <v>55</v>
      </c>
      <c r="O181" s="13" t="s">
        <v>33</v>
      </c>
      <c r="P181" s="14" t="s">
        <v>129</v>
      </c>
      <c r="Q181" s="9" t="s">
        <v>130</v>
      </c>
      <c r="R181" s="9">
        <v>20</v>
      </c>
      <c r="S181" s="9" t="s">
        <v>131</v>
      </c>
      <c r="T181" s="9">
        <v>8.1999999999999993</v>
      </c>
      <c r="U181" s="9">
        <v>5.9020000000000001</v>
      </c>
      <c r="V181" s="9" t="s">
        <v>134</v>
      </c>
      <c r="W181" s="9" t="s">
        <v>37</v>
      </c>
      <c r="X181" s="9">
        <v>7.67</v>
      </c>
      <c r="Y181" s="9">
        <v>0.13</v>
      </c>
      <c r="Z181" s="15">
        <f t="shared" si="235"/>
        <v>0.4284575216169903</v>
      </c>
      <c r="AA181" s="15">
        <f t="shared" si="249"/>
        <v>0.3766238090068898</v>
      </c>
      <c r="AB181" t="s">
        <v>577</v>
      </c>
      <c r="AC181" s="16">
        <f t="shared" si="236"/>
        <v>0.30760968147407108</v>
      </c>
      <c r="AD181" s="26">
        <f t="shared" si="237"/>
        <v>3.2508729738543409</v>
      </c>
      <c r="AE181" s="51">
        <v>22</v>
      </c>
      <c r="AF181" s="85" t="str">
        <f t="shared" si="238"/>
        <v>IC10</v>
      </c>
      <c r="AG181" s="9">
        <f t="shared" si="239"/>
        <v>1</v>
      </c>
      <c r="AH181" s="18">
        <f t="shared" si="240"/>
        <v>0.3766238090068898</v>
      </c>
      <c r="AI181" s="88" t="str">
        <f t="shared" si="241"/>
        <v>Chronic</v>
      </c>
      <c r="AJ181" s="9">
        <f t="shared" si="242"/>
        <v>1</v>
      </c>
      <c r="AK181" s="18">
        <f t="shared" si="243"/>
        <v>0.3766238090068898</v>
      </c>
      <c r="AL181" s="16"/>
      <c r="AM181" s="110" t="str">
        <f t="shared" si="244"/>
        <v>IC10</v>
      </c>
      <c r="AN181" s="111" t="s">
        <v>356</v>
      </c>
      <c r="AO181" s="112" t="str">
        <f t="shared" si="245"/>
        <v>Chronic</v>
      </c>
      <c r="AP181" s="111" t="str">
        <f t="shared" si="250"/>
        <v>y</v>
      </c>
      <c r="AQ181" s="134" t="str">
        <f t="shared" si="246"/>
        <v>Mortality</v>
      </c>
      <c r="AR181" s="199" t="s">
        <v>459</v>
      </c>
      <c r="AS181" s="114">
        <f t="shared" si="247"/>
        <v>28</v>
      </c>
      <c r="AT181" s="199" t="s">
        <v>460</v>
      </c>
      <c r="AU181" s="200"/>
      <c r="AV181" s="152">
        <f t="shared" si="253"/>
        <v>0.3766238090068898</v>
      </c>
      <c r="AW181" s="116">
        <f>GEOMEAN(AV180:AV181)</f>
        <v>0.80574327284656411</v>
      </c>
      <c r="AX181" s="117">
        <f>MIN(AW181)</f>
        <v>0.80574327284656411</v>
      </c>
      <c r="AY181" s="125">
        <f>MIN(AX181:AX181)</f>
        <v>0.80574327284656411</v>
      </c>
    </row>
    <row r="182" spans="1:52" x14ac:dyDescent="0.2">
      <c r="A182" s="32" t="s">
        <v>148</v>
      </c>
      <c r="B182" s="33">
        <v>256</v>
      </c>
      <c r="C182" s="38" t="s">
        <v>24</v>
      </c>
      <c r="D182" s="35" t="s">
        <v>149</v>
      </c>
      <c r="E182" s="33" t="s">
        <v>121</v>
      </c>
      <c r="F182" s="33" t="s">
        <v>127</v>
      </c>
      <c r="G182" s="33" t="s">
        <v>52</v>
      </c>
      <c r="H182" s="33" t="s">
        <v>571</v>
      </c>
      <c r="I182" s="33" t="s">
        <v>37</v>
      </c>
      <c r="J182" s="36" t="s">
        <v>53</v>
      </c>
      <c r="K182" s="36" t="s">
        <v>53</v>
      </c>
      <c r="L182" s="36" t="s">
        <v>54</v>
      </c>
      <c r="M182" s="36">
        <v>6</v>
      </c>
      <c r="N182" s="33" t="s">
        <v>102</v>
      </c>
      <c r="O182" s="37" t="s">
        <v>33</v>
      </c>
      <c r="P182" s="38" t="s">
        <v>150</v>
      </c>
      <c r="Q182" s="33" t="s">
        <v>151</v>
      </c>
      <c r="R182" s="33">
        <v>21.8</v>
      </c>
      <c r="S182" s="33" t="s">
        <v>152</v>
      </c>
      <c r="T182" s="33">
        <v>7.8</v>
      </c>
      <c r="U182" s="33">
        <v>2.7679999999999998</v>
      </c>
      <c r="V182" s="33" t="s">
        <v>37</v>
      </c>
      <c r="W182" s="33">
        <v>30</v>
      </c>
      <c r="X182" s="33">
        <v>30</v>
      </c>
      <c r="Y182" s="40">
        <f t="shared" ref="Y182" si="254">X182/((U182/100)*1000)</f>
        <v>1.0838150289017343</v>
      </c>
      <c r="Z182" s="40">
        <f t="shared" si="235"/>
        <v>2.0127302212112239</v>
      </c>
      <c r="AA182" s="40">
        <f t="shared" si="249"/>
        <v>1.9869437275865256</v>
      </c>
      <c r="AB182" s="16"/>
      <c r="AC182" s="16">
        <f t="shared" si="236"/>
        <v>0.77268058509570214</v>
      </c>
      <c r="AD182" s="26">
        <f t="shared" si="237"/>
        <v>1.2941958414499863</v>
      </c>
      <c r="AE182" s="51">
        <v>22</v>
      </c>
      <c r="AF182" s="85" t="str">
        <f t="shared" si="238"/>
        <v>NOEC</v>
      </c>
      <c r="AG182" s="9">
        <f t="shared" si="239"/>
        <v>1</v>
      </c>
      <c r="AH182" s="18">
        <f t="shared" si="240"/>
        <v>1.9869437275865256</v>
      </c>
      <c r="AI182" s="88" t="str">
        <f t="shared" si="241"/>
        <v>Chronic</v>
      </c>
      <c r="AJ182" s="9">
        <f t="shared" si="242"/>
        <v>1</v>
      </c>
      <c r="AK182" s="18">
        <f t="shared" si="243"/>
        <v>1.9869437275865256</v>
      </c>
      <c r="AL182" s="16"/>
      <c r="AM182" s="101" t="str">
        <f t="shared" si="244"/>
        <v>NOEC</v>
      </c>
      <c r="AN182" s="102" t="s">
        <v>356</v>
      </c>
      <c r="AO182" s="103" t="str">
        <f t="shared" si="245"/>
        <v>Chronic</v>
      </c>
      <c r="AP182" s="102" t="str">
        <f t="shared" si="250"/>
        <v>y</v>
      </c>
      <c r="AQ182" s="104" t="str">
        <f t="shared" si="246"/>
        <v>Mortality</v>
      </c>
      <c r="AR182" s="102" t="s">
        <v>459</v>
      </c>
      <c r="AS182" s="105">
        <f t="shared" si="247"/>
        <v>6</v>
      </c>
      <c r="AT182" s="102" t="s">
        <v>460</v>
      </c>
      <c r="AU182" s="102"/>
      <c r="AV182" s="154">
        <f t="shared" si="253"/>
        <v>1.9869437275865256</v>
      </c>
      <c r="AW182" s="118">
        <f>GEOMEAN(AV182)</f>
        <v>1.9869437275865256</v>
      </c>
      <c r="AX182" s="119">
        <f>MIN(AW182:AW182)</f>
        <v>1.9869437275865256</v>
      </c>
      <c r="AY182" s="126">
        <f>MIN(AX182)</f>
        <v>1.9869437275865256</v>
      </c>
    </row>
    <row r="183" spans="1:52" x14ac:dyDescent="0.2">
      <c r="A183" s="8" t="s">
        <v>168</v>
      </c>
      <c r="B183" s="9">
        <v>242</v>
      </c>
      <c r="C183" s="10" t="s">
        <v>24</v>
      </c>
      <c r="D183" s="11" t="s">
        <v>155</v>
      </c>
      <c r="E183" s="9" t="s">
        <v>121</v>
      </c>
      <c r="F183" s="9" t="s">
        <v>127</v>
      </c>
      <c r="G183" s="9" t="s">
        <v>52</v>
      </c>
      <c r="H183" s="9" t="s">
        <v>571</v>
      </c>
      <c r="I183" s="12" t="s">
        <v>156</v>
      </c>
      <c r="J183" s="12" t="s">
        <v>136</v>
      </c>
      <c r="K183" s="12" t="s">
        <v>169</v>
      </c>
      <c r="L183" s="12" t="s">
        <v>54</v>
      </c>
      <c r="M183" s="12">
        <v>60</v>
      </c>
      <c r="N183" s="9" t="s">
        <v>55</v>
      </c>
      <c r="O183" s="13" t="s">
        <v>33</v>
      </c>
      <c r="P183" s="14" t="s">
        <v>157</v>
      </c>
      <c r="Q183" s="9">
        <v>20</v>
      </c>
      <c r="R183" s="9">
        <v>20</v>
      </c>
      <c r="S183" s="28" t="s">
        <v>158</v>
      </c>
      <c r="T183" s="28">
        <v>7.73</v>
      </c>
      <c r="U183" s="26" t="s">
        <v>170</v>
      </c>
      <c r="V183" s="9">
        <v>0.65</v>
      </c>
      <c r="W183" s="9">
        <v>12</v>
      </c>
      <c r="X183" s="9">
        <v>12</v>
      </c>
      <c r="Y183" s="9">
        <v>0.65</v>
      </c>
      <c r="Z183" s="15">
        <f t="shared" si="235"/>
        <v>1.1105489745328638</v>
      </c>
      <c r="AA183" s="15">
        <f t="shared" si="249"/>
        <v>0.97619755465783564</v>
      </c>
      <c r="AC183" s="16">
        <f t="shared" si="236"/>
        <v>0.90782053017818432</v>
      </c>
      <c r="AD183" s="26">
        <f t="shared" si="237"/>
        <v>1.1015393095414168</v>
      </c>
      <c r="AE183" s="51">
        <v>22</v>
      </c>
      <c r="AF183" s="85" t="str">
        <f t="shared" si="238"/>
        <v>NOEC</v>
      </c>
      <c r="AG183" s="9">
        <f t="shared" si="239"/>
        <v>1</v>
      </c>
      <c r="AH183" s="18">
        <f t="shared" si="240"/>
        <v>0.97619755465783564</v>
      </c>
      <c r="AI183" s="88" t="str">
        <f t="shared" si="241"/>
        <v>Chronic</v>
      </c>
      <c r="AJ183" s="9">
        <f t="shared" si="242"/>
        <v>1</v>
      </c>
      <c r="AK183" s="18">
        <f t="shared" si="243"/>
        <v>0.97619755465783564</v>
      </c>
      <c r="AL183" s="16"/>
      <c r="AM183" s="110" t="str">
        <f t="shared" si="244"/>
        <v>NOEC</v>
      </c>
      <c r="AN183" s="111" t="s">
        <v>356</v>
      </c>
      <c r="AO183" s="112" t="str">
        <f t="shared" si="245"/>
        <v>Chronic</v>
      </c>
      <c r="AP183" s="111" t="str">
        <f t="shared" si="250"/>
        <v>y</v>
      </c>
      <c r="AQ183" s="134" t="str">
        <f t="shared" si="246"/>
        <v>Length</v>
      </c>
      <c r="AR183" s="111" t="s">
        <v>475</v>
      </c>
      <c r="AS183" s="114">
        <f t="shared" si="247"/>
        <v>60</v>
      </c>
      <c r="AT183" s="111" t="s">
        <v>476</v>
      </c>
      <c r="AU183" s="111"/>
      <c r="AV183" s="152">
        <f t="shared" si="253"/>
        <v>0.97619755465783564</v>
      </c>
      <c r="AW183" s="140">
        <f>GEOMEAN(AV183)</f>
        <v>0.97619755465783564</v>
      </c>
      <c r="AX183" s="141">
        <f>MIN(AW183)</f>
        <v>0.97619755465783564</v>
      </c>
      <c r="AY183" s="142">
        <f>MIN(AX183:AX183)</f>
        <v>0.97619755465783564</v>
      </c>
    </row>
    <row r="184" spans="1:52" x14ac:dyDescent="0.2">
      <c r="A184" s="32" t="s">
        <v>176</v>
      </c>
      <c r="B184" s="33">
        <v>254</v>
      </c>
      <c r="C184" s="34" t="s">
        <v>24</v>
      </c>
      <c r="D184" s="35" t="s">
        <v>172</v>
      </c>
      <c r="E184" s="33" t="s">
        <v>121</v>
      </c>
      <c r="F184" s="33" t="s">
        <v>127</v>
      </c>
      <c r="G184" s="33" t="s">
        <v>52</v>
      </c>
      <c r="H184" s="33" t="s">
        <v>571</v>
      </c>
      <c r="I184" s="36" t="s">
        <v>128</v>
      </c>
      <c r="J184" s="36" t="s">
        <v>177</v>
      </c>
      <c r="K184" s="36" t="s">
        <v>137</v>
      </c>
      <c r="L184" s="36" t="s">
        <v>133</v>
      </c>
      <c r="M184" s="36">
        <v>28</v>
      </c>
      <c r="N184" s="33" t="s">
        <v>55</v>
      </c>
      <c r="O184" s="37" t="s">
        <v>33</v>
      </c>
      <c r="P184" s="38" t="s">
        <v>129</v>
      </c>
      <c r="Q184" s="33" t="s">
        <v>130</v>
      </c>
      <c r="R184" s="33">
        <v>20</v>
      </c>
      <c r="S184" s="33" t="s">
        <v>131</v>
      </c>
      <c r="T184" s="33">
        <v>8.1999999999999993</v>
      </c>
      <c r="U184" s="33">
        <v>5.9020000000000001</v>
      </c>
      <c r="V184" s="33" t="s">
        <v>175</v>
      </c>
      <c r="W184" s="33" t="s">
        <v>37</v>
      </c>
      <c r="X184" s="33">
        <v>23.6</v>
      </c>
      <c r="Y184" s="33">
        <v>0.4</v>
      </c>
      <c r="Z184" s="40">
        <f t="shared" si="235"/>
        <v>1.3183308357445855</v>
      </c>
      <c r="AA184" s="40">
        <f t="shared" si="249"/>
        <v>1.1588424892519686</v>
      </c>
      <c r="AB184" t="s">
        <v>577</v>
      </c>
      <c r="AC184" s="16">
        <f t="shared" si="236"/>
        <v>0.30760968147407108</v>
      </c>
      <c r="AD184" s="26">
        <f t="shared" si="237"/>
        <v>3.2508729738543409</v>
      </c>
      <c r="AE184" s="51">
        <v>22</v>
      </c>
      <c r="AF184" s="85" t="str">
        <f t="shared" si="238"/>
        <v>IC10</v>
      </c>
      <c r="AG184" s="9">
        <f t="shared" si="239"/>
        <v>1</v>
      </c>
      <c r="AH184" s="18">
        <f t="shared" si="240"/>
        <v>1.1588424892519686</v>
      </c>
      <c r="AI184" s="88" t="str">
        <f t="shared" si="241"/>
        <v>Chronic</v>
      </c>
      <c r="AJ184" s="9">
        <f t="shared" si="242"/>
        <v>1</v>
      </c>
      <c r="AK184" s="18">
        <f t="shared" si="243"/>
        <v>1.1588424892519686</v>
      </c>
      <c r="AL184" s="16"/>
      <c r="AM184" s="110" t="str">
        <f t="shared" si="244"/>
        <v>IC10</v>
      </c>
      <c r="AN184" s="111" t="s">
        <v>356</v>
      </c>
      <c r="AO184" s="112" t="str">
        <f t="shared" si="245"/>
        <v>Chronic</v>
      </c>
      <c r="AP184" s="111" t="str">
        <f t="shared" si="250"/>
        <v>y</v>
      </c>
      <c r="AQ184" s="134" t="str">
        <f t="shared" si="246"/>
        <v>Shell length</v>
      </c>
      <c r="AR184" s="111" t="s">
        <v>473</v>
      </c>
      <c r="AS184" s="114">
        <f t="shared" si="247"/>
        <v>28</v>
      </c>
      <c r="AT184" s="111" t="s">
        <v>474</v>
      </c>
      <c r="AU184" s="111"/>
      <c r="AV184" s="152">
        <f>AK184</f>
        <v>1.1588424892519686</v>
      </c>
      <c r="AW184" s="140">
        <f>GEOMEAN(AV184)</f>
        <v>1.1588424892519686</v>
      </c>
      <c r="AX184" s="141">
        <f>MIN(AW184)</f>
        <v>1.1588424892519686</v>
      </c>
      <c r="AY184" s="142">
        <f>MIN(AX184:AX184)</f>
        <v>1.1588424892519686</v>
      </c>
    </row>
    <row r="185" spans="1:52" x14ac:dyDescent="0.2">
      <c r="A185" s="193" t="s">
        <v>610</v>
      </c>
    </row>
    <row r="186" spans="1:52" x14ac:dyDescent="0.2">
      <c r="A186" s="32" t="s">
        <v>48</v>
      </c>
      <c r="B186" s="33">
        <v>236</v>
      </c>
      <c r="C186" s="34" t="s">
        <v>24</v>
      </c>
      <c r="D186" s="35" t="s">
        <v>49</v>
      </c>
      <c r="E186" s="33" t="s">
        <v>50</v>
      </c>
      <c r="F186" s="33" t="s">
        <v>51</v>
      </c>
      <c r="G186" s="33" t="s">
        <v>52</v>
      </c>
      <c r="H186" s="33" t="s">
        <v>571</v>
      </c>
      <c r="I186" s="36" t="s">
        <v>37</v>
      </c>
      <c r="J186" s="36" t="s">
        <v>53</v>
      </c>
      <c r="K186" s="36" t="s">
        <v>53</v>
      </c>
      <c r="L186" s="36" t="s">
        <v>54</v>
      </c>
      <c r="M186" s="36">
        <v>30</v>
      </c>
      <c r="N186" s="33" t="s">
        <v>55</v>
      </c>
      <c r="O186" s="37" t="s">
        <v>33</v>
      </c>
      <c r="P186" s="38" t="s">
        <v>56</v>
      </c>
      <c r="Q186" s="33" t="s">
        <v>57</v>
      </c>
      <c r="R186" s="40">
        <v>15.1</v>
      </c>
      <c r="S186" s="33" t="s">
        <v>58</v>
      </c>
      <c r="T186" s="33">
        <v>8.11</v>
      </c>
      <c r="U186" s="33">
        <v>3.42</v>
      </c>
      <c r="V186" s="33" t="s">
        <v>37</v>
      </c>
      <c r="W186" s="33">
        <v>20</v>
      </c>
      <c r="X186" s="40">
        <v>20</v>
      </c>
      <c r="Y186" s="40">
        <f t="shared" ref="Y186:Y190" si="255">X186/((U186/100)*1000)</f>
        <v>0.58479532163742687</v>
      </c>
      <c r="Z186" s="40">
        <f t="shared" ref="Z186:Z199" si="256">Y186/((0.0278/(1+AC186))+(1.1994/(1+AD186)))</f>
        <v>1.6734482467670493</v>
      </c>
      <c r="AA186" s="40">
        <f>POWER(10,LOG(Z186)-(-0.028*(R186-AE186)))</f>
        <v>1.0055699482742559</v>
      </c>
      <c r="AC186" s="16">
        <f t="shared" ref="AC186:AC199" si="257">POWER(10,7.688-T186)</f>
        <v>0.37844258471709358</v>
      </c>
      <c r="AD186" s="26">
        <f t="shared" ref="AD186:AD199" si="258">POWER(10,T186-7.688)</f>
        <v>2.6424087573219448</v>
      </c>
      <c r="AE186" s="51">
        <v>23</v>
      </c>
      <c r="AF186" s="85" t="str">
        <f t="shared" ref="AF186:AF199" si="259">L186</f>
        <v>NOEC</v>
      </c>
      <c r="AG186" s="9">
        <f t="shared" ref="AG186:AG199" si="260">VLOOKUP(AF186,$BD$6:$BE$17,2,FALSE)</f>
        <v>1</v>
      </c>
      <c r="AH186" s="18">
        <f t="shared" ref="AH186:AH199" si="261">AA186/AG186</f>
        <v>1.0055699482742559</v>
      </c>
      <c r="AI186" s="88" t="str">
        <f t="shared" ref="AI186:AI199" si="262">O186</f>
        <v>Chronic</v>
      </c>
      <c r="AJ186" s="9">
        <f t="shared" ref="AJ186:AJ199" si="263">VLOOKUP(AI186,$BD$19:$BF$20,2,FALSE)</f>
        <v>1</v>
      </c>
      <c r="AK186" s="18">
        <f t="shared" ref="AK186:AK199" si="264">AH186/AJ186</f>
        <v>1.0055699482742559</v>
      </c>
      <c r="AL186" s="16"/>
      <c r="AM186" s="127" t="str">
        <f t="shared" ref="AM186:AM199" si="265">L186</f>
        <v>NOEC</v>
      </c>
      <c r="AN186" s="128" t="s">
        <v>356</v>
      </c>
      <c r="AO186" s="129" t="str">
        <f t="shared" ref="AO186:AO199" si="266">O186</f>
        <v>Chronic</v>
      </c>
      <c r="AP186" s="128" t="str">
        <f>IF(AO186="chronic","y","n")</f>
        <v>y</v>
      </c>
      <c r="AQ186" s="130" t="str">
        <f t="shared" ref="AQ186:AQ199" si="267">K186</f>
        <v>Mortality</v>
      </c>
      <c r="AR186" s="128" t="s">
        <v>459</v>
      </c>
      <c r="AS186" s="131">
        <f t="shared" ref="AS186:AS199" si="268">M186</f>
        <v>30</v>
      </c>
      <c r="AT186" s="128" t="s">
        <v>460</v>
      </c>
      <c r="AU186" s="128"/>
      <c r="AV186" s="189">
        <f t="shared" ref="AV186:AV192" si="269">AK186</f>
        <v>1.0055699482742559</v>
      </c>
      <c r="AW186" s="144">
        <f>GEOMEAN(AV186)</f>
        <v>1.0055699482742559</v>
      </c>
      <c r="AX186" s="148">
        <f>MIN(AW186)</f>
        <v>1.0055699482742559</v>
      </c>
      <c r="AY186" s="149">
        <f>MIN(AX186)</f>
        <v>1.0055699482742559</v>
      </c>
      <c r="AZ186" s="206" t="str">
        <f>A185</f>
        <v>23°C</v>
      </c>
    </row>
    <row r="187" spans="1:52" x14ac:dyDescent="0.2">
      <c r="A187" s="19" t="s">
        <v>59</v>
      </c>
      <c r="B187" s="9">
        <v>245</v>
      </c>
      <c r="C187" s="10" t="s">
        <v>24</v>
      </c>
      <c r="D187" s="11" t="s">
        <v>60</v>
      </c>
      <c r="E187" s="20" t="s">
        <v>61</v>
      </c>
      <c r="F187" s="9" t="s">
        <v>62</v>
      </c>
      <c r="G187" s="9" t="s">
        <v>52</v>
      </c>
      <c r="H187" s="9" t="s">
        <v>571</v>
      </c>
      <c r="I187" s="12" t="s">
        <v>63</v>
      </c>
      <c r="J187" s="12" t="s">
        <v>64</v>
      </c>
      <c r="K187" s="12" t="s">
        <v>64</v>
      </c>
      <c r="L187" s="12" t="s">
        <v>54</v>
      </c>
      <c r="M187" s="12">
        <v>7</v>
      </c>
      <c r="N187" s="9" t="s">
        <v>55</v>
      </c>
      <c r="O187" s="21" t="s">
        <v>33</v>
      </c>
      <c r="P187" s="14" t="s">
        <v>65</v>
      </c>
      <c r="Q187" s="9">
        <v>25</v>
      </c>
      <c r="R187" s="9">
        <v>25</v>
      </c>
      <c r="S187" s="22">
        <v>8</v>
      </c>
      <c r="T187" s="22">
        <v>8</v>
      </c>
      <c r="U187" s="20">
        <v>5.3659999999999997</v>
      </c>
      <c r="V187" s="20" t="s">
        <v>37</v>
      </c>
      <c r="W187" s="20">
        <v>680</v>
      </c>
      <c r="X187" s="9">
        <v>680</v>
      </c>
      <c r="Y187" s="27">
        <f t="shared" si="255"/>
        <v>12.672381662318301</v>
      </c>
      <c r="Z187" s="15">
        <f t="shared" si="256"/>
        <v>30.774279778328605</v>
      </c>
      <c r="AA187" s="15">
        <f t="shared" ref="AA187:AA199" si="270">POWER(10,LOG(Z187)-(-0.028*(R187-AE187)))</f>
        <v>35.009660377390873</v>
      </c>
      <c r="AC187" s="16">
        <f t="shared" si="257"/>
        <v>0.48752849010338595</v>
      </c>
      <c r="AD187" s="26">
        <f t="shared" si="258"/>
        <v>2.051162178825567</v>
      </c>
      <c r="AE187" s="51">
        <v>23</v>
      </c>
      <c r="AF187" s="85" t="str">
        <f t="shared" si="259"/>
        <v>NOEC</v>
      </c>
      <c r="AG187" s="9">
        <f t="shared" si="260"/>
        <v>1</v>
      </c>
      <c r="AH187" s="18">
        <f t="shared" si="261"/>
        <v>35.009660377390873</v>
      </c>
      <c r="AI187" s="88" t="str">
        <f t="shared" si="262"/>
        <v>Chronic</v>
      </c>
      <c r="AJ187" s="9">
        <f t="shared" si="263"/>
        <v>1</v>
      </c>
      <c r="AK187" s="18">
        <f t="shared" si="264"/>
        <v>35.009660377390873</v>
      </c>
      <c r="AL187" s="16"/>
      <c r="AM187" s="101" t="str">
        <f t="shared" si="265"/>
        <v>NOEC</v>
      </c>
      <c r="AN187" s="102" t="s">
        <v>356</v>
      </c>
      <c r="AO187" s="103" t="str">
        <f t="shared" si="266"/>
        <v>Chronic</v>
      </c>
      <c r="AP187" s="102" t="str">
        <f t="shared" ref="AP187:AP199" si="271">IF(AO187="chronic","y","n")</f>
        <v>y</v>
      </c>
      <c r="AQ187" s="104" t="str">
        <f t="shared" si="267"/>
        <v>Reproduction</v>
      </c>
      <c r="AR187" s="102" t="s">
        <v>459</v>
      </c>
      <c r="AS187" s="105">
        <f t="shared" si="268"/>
        <v>7</v>
      </c>
      <c r="AT187" s="102" t="s">
        <v>460</v>
      </c>
      <c r="AU187" s="102"/>
      <c r="AV187" s="106">
        <f t="shared" si="269"/>
        <v>35.009660377390873</v>
      </c>
      <c r="AW187" s="107">
        <f>GEOMEAN(AV187:AV187)</f>
        <v>35.009660377390873</v>
      </c>
      <c r="AX187" s="108">
        <f>MIN(AW187:AW187)</f>
        <v>35.009660377390873</v>
      </c>
      <c r="AY187" s="109">
        <f>MIN(AX187)</f>
        <v>35.009660377390873</v>
      </c>
    </row>
    <row r="188" spans="1:52" x14ac:dyDescent="0.2">
      <c r="A188" s="32" t="s">
        <v>82</v>
      </c>
      <c r="B188" s="33">
        <v>240</v>
      </c>
      <c r="C188" s="34" t="s">
        <v>24</v>
      </c>
      <c r="D188" s="35" t="s">
        <v>77</v>
      </c>
      <c r="E188" s="33" t="s">
        <v>61</v>
      </c>
      <c r="F188" s="33" t="s">
        <v>62</v>
      </c>
      <c r="G188" s="33" t="s">
        <v>52</v>
      </c>
      <c r="H188" s="33" t="s">
        <v>571</v>
      </c>
      <c r="I188" s="36" t="s">
        <v>78</v>
      </c>
      <c r="J188" s="36" t="s">
        <v>83</v>
      </c>
      <c r="K188" s="36" t="s">
        <v>84</v>
      </c>
      <c r="L188" s="36" t="s">
        <v>54</v>
      </c>
      <c r="M188" s="36">
        <v>21</v>
      </c>
      <c r="N188" s="33" t="s">
        <v>55</v>
      </c>
      <c r="O188" s="37" t="s">
        <v>33</v>
      </c>
      <c r="P188" s="38" t="s">
        <v>79</v>
      </c>
      <c r="Q188" s="33" t="s">
        <v>80</v>
      </c>
      <c r="R188" s="40">
        <v>19.8</v>
      </c>
      <c r="S188" s="33" t="s">
        <v>81</v>
      </c>
      <c r="T188" s="33">
        <v>8.4499999999999993</v>
      </c>
      <c r="U188" s="33">
        <v>9.9039999999999999</v>
      </c>
      <c r="V188" s="44" t="s">
        <v>37</v>
      </c>
      <c r="W188" s="44" t="s">
        <v>37</v>
      </c>
      <c r="X188" s="33">
        <v>420</v>
      </c>
      <c r="Y188" s="40">
        <f t="shared" si="255"/>
        <v>4.2407108239095308</v>
      </c>
      <c r="Z188" s="40">
        <f t="shared" si="256"/>
        <v>21.142464693435951</v>
      </c>
      <c r="AA188" s="40">
        <f t="shared" si="270"/>
        <v>17.201075972565171</v>
      </c>
      <c r="AC188" s="16">
        <f t="shared" si="257"/>
        <v>0.17298163592151028</v>
      </c>
      <c r="AD188" s="26">
        <f t="shared" si="258"/>
        <v>5.7809604740571769</v>
      </c>
      <c r="AE188" s="51">
        <v>23</v>
      </c>
      <c r="AF188" s="85" t="str">
        <f t="shared" si="259"/>
        <v>NOEC</v>
      </c>
      <c r="AG188" s="9">
        <f t="shared" si="260"/>
        <v>1</v>
      </c>
      <c r="AH188" s="18">
        <f t="shared" si="261"/>
        <v>17.201075972565171</v>
      </c>
      <c r="AI188" s="88" t="str">
        <f t="shared" si="262"/>
        <v>Chronic</v>
      </c>
      <c r="AJ188" s="9">
        <f t="shared" si="263"/>
        <v>1</v>
      </c>
      <c r="AK188" s="18">
        <f t="shared" si="264"/>
        <v>17.201075972565171</v>
      </c>
      <c r="AL188" s="16"/>
      <c r="AM188" s="101" t="str">
        <f t="shared" si="265"/>
        <v>NOEC</v>
      </c>
      <c r="AN188" s="102" t="s">
        <v>356</v>
      </c>
      <c r="AO188" s="103" t="str">
        <f t="shared" si="266"/>
        <v>Chronic</v>
      </c>
      <c r="AP188" s="102" t="str">
        <f t="shared" si="271"/>
        <v>y</v>
      </c>
      <c r="AQ188" s="104" t="str">
        <f t="shared" si="267"/>
        <v>Mean total young/daphnid</v>
      </c>
      <c r="AR188" s="102" t="s">
        <v>459</v>
      </c>
      <c r="AS188" s="105">
        <f t="shared" si="268"/>
        <v>21</v>
      </c>
      <c r="AT188" s="102" t="s">
        <v>460</v>
      </c>
      <c r="AU188" s="102"/>
      <c r="AV188" s="147">
        <f t="shared" si="269"/>
        <v>17.201075972565171</v>
      </c>
      <c r="AW188" s="107">
        <f>GEOMEAN(AV188:AV188)</f>
        <v>17.201075972565171</v>
      </c>
      <c r="AX188" s="108">
        <f>MIN(AW188)</f>
        <v>17.201075972565171</v>
      </c>
      <c r="AY188" s="109"/>
    </row>
    <row r="189" spans="1:52" x14ac:dyDescent="0.2">
      <c r="A189" s="32" t="s">
        <v>87</v>
      </c>
      <c r="B189" s="33">
        <v>240</v>
      </c>
      <c r="C189" s="34" t="s">
        <v>24</v>
      </c>
      <c r="D189" s="35" t="s">
        <v>77</v>
      </c>
      <c r="E189" s="33" t="s">
        <v>61</v>
      </c>
      <c r="F189" s="33" t="s">
        <v>62</v>
      </c>
      <c r="G189" s="33" t="s">
        <v>52</v>
      </c>
      <c r="H189" s="33" t="s">
        <v>571</v>
      </c>
      <c r="I189" s="36" t="s">
        <v>78</v>
      </c>
      <c r="J189" s="36" t="s">
        <v>83</v>
      </c>
      <c r="K189" s="36" t="s">
        <v>88</v>
      </c>
      <c r="L189" s="36" t="s">
        <v>54</v>
      </c>
      <c r="M189" s="36">
        <v>21</v>
      </c>
      <c r="N189" s="33" t="s">
        <v>55</v>
      </c>
      <c r="O189" s="37" t="s">
        <v>33</v>
      </c>
      <c r="P189" s="38" t="s">
        <v>79</v>
      </c>
      <c r="Q189" s="33" t="s">
        <v>80</v>
      </c>
      <c r="R189" s="40">
        <v>19.8</v>
      </c>
      <c r="S189" s="33" t="s">
        <v>81</v>
      </c>
      <c r="T189" s="33">
        <v>8.4499999999999993</v>
      </c>
      <c r="U189" s="33">
        <v>9.9039999999999999</v>
      </c>
      <c r="V189" s="44" t="s">
        <v>37</v>
      </c>
      <c r="W189" s="44" t="s">
        <v>37</v>
      </c>
      <c r="X189" s="33">
        <v>420</v>
      </c>
      <c r="Y189" s="40">
        <f t="shared" si="255"/>
        <v>4.2407108239095308</v>
      </c>
      <c r="Z189" s="40">
        <f t="shared" si="256"/>
        <v>21.142464693435951</v>
      </c>
      <c r="AA189" s="40">
        <f t="shared" si="270"/>
        <v>17.201075972565171</v>
      </c>
      <c r="AC189" s="16">
        <f t="shared" si="257"/>
        <v>0.17298163592151028</v>
      </c>
      <c r="AD189" s="26">
        <f t="shared" si="258"/>
        <v>5.7809604740571769</v>
      </c>
      <c r="AE189" s="51">
        <v>23</v>
      </c>
      <c r="AF189" s="85" t="str">
        <f t="shared" si="259"/>
        <v>NOEC</v>
      </c>
      <c r="AG189" s="9">
        <f t="shared" si="260"/>
        <v>1</v>
      </c>
      <c r="AH189" s="18">
        <f t="shared" si="261"/>
        <v>17.201075972565171</v>
      </c>
      <c r="AI189" s="88" t="str">
        <f t="shared" si="262"/>
        <v>Chronic</v>
      </c>
      <c r="AJ189" s="9">
        <f t="shared" si="263"/>
        <v>1</v>
      </c>
      <c r="AK189" s="18">
        <f t="shared" si="264"/>
        <v>17.201075972565171</v>
      </c>
      <c r="AL189" s="16"/>
      <c r="AM189" s="132" t="str">
        <f t="shared" si="265"/>
        <v>NOEC</v>
      </c>
      <c r="AN189" s="67" t="s">
        <v>356</v>
      </c>
      <c r="AO189" s="88" t="str">
        <f t="shared" si="266"/>
        <v>Chronic</v>
      </c>
      <c r="AP189" s="67" t="str">
        <f t="shared" si="271"/>
        <v>y</v>
      </c>
      <c r="AQ189" s="69" t="str">
        <f t="shared" si="267"/>
        <v>Mean brood size/daphnid</v>
      </c>
      <c r="AR189" s="67" t="s">
        <v>475</v>
      </c>
      <c r="AS189" s="70">
        <f t="shared" si="268"/>
        <v>21</v>
      </c>
      <c r="AT189" s="67" t="s">
        <v>476</v>
      </c>
      <c r="AU189" s="67"/>
      <c r="AV189" s="82">
        <f t="shared" si="269"/>
        <v>17.201075972565171</v>
      </c>
      <c r="AW189" s="81">
        <f>GEOMEAN(AV189:AV189)</f>
        <v>17.201075972565171</v>
      </c>
      <c r="AX189" s="78">
        <f>MIN(AW189)</f>
        <v>17.201075972565171</v>
      </c>
      <c r="AY189" s="133"/>
    </row>
    <row r="190" spans="1:52" x14ac:dyDescent="0.2">
      <c r="A190" s="32" t="s">
        <v>89</v>
      </c>
      <c r="B190" s="33">
        <v>240</v>
      </c>
      <c r="C190" s="34" t="s">
        <v>24</v>
      </c>
      <c r="D190" s="35" t="s">
        <v>77</v>
      </c>
      <c r="E190" s="33" t="s">
        <v>61</v>
      </c>
      <c r="F190" s="33" t="s">
        <v>62</v>
      </c>
      <c r="G190" s="33" t="s">
        <v>52</v>
      </c>
      <c r="H190" s="33" t="s">
        <v>571</v>
      </c>
      <c r="I190" s="36" t="s">
        <v>78</v>
      </c>
      <c r="J190" s="36" t="s">
        <v>53</v>
      </c>
      <c r="K190" s="36" t="s">
        <v>53</v>
      </c>
      <c r="L190" s="36" t="s">
        <v>54</v>
      </c>
      <c r="M190" s="36">
        <v>21</v>
      </c>
      <c r="N190" s="33" t="s">
        <v>55</v>
      </c>
      <c r="O190" s="37" t="s">
        <v>33</v>
      </c>
      <c r="P190" s="38" t="s">
        <v>79</v>
      </c>
      <c r="Q190" s="33" t="s">
        <v>80</v>
      </c>
      <c r="R190" s="40">
        <v>19.8</v>
      </c>
      <c r="S190" s="33" t="s">
        <v>81</v>
      </c>
      <c r="T190" s="33">
        <v>8.4499999999999993</v>
      </c>
      <c r="U190" s="33">
        <v>9.9039999999999999</v>
      </c>
      <c r="V190" s="44" t="s">
        <v>37</v>
      </c>
      <c r="W190" s="44" t="s">
        <v>37</v>
      </c>
      <c r="X190" s="33">
        <v>420</v>
      </c>
      <c r="Y190" s="40">
        <f t="shared" si="255"/>
        <v>4.2407108239095308</v>
      </c>
      <c r="Z190" s="40">
        <f t="shared" si="256"/>
        <v>21.142464693435951</v>
      </c>
      <c r="AA190" s="40">
        <f t="shared" si="270"/>
        <v>17.201075972565171</v>
      </c>
      <c r="AC190" s="16">
        <f t="shared" si="257"/>
        <v>0.17298163592151028</v>
      </c>
      <c r="AD190" s="26">
        <f t="shared" si="258"/>
        <v>5.7809604740571769</v>
      </c>
      <c r="AE190" s="51">
        <v>23</v>
      </c>
      <c r="AF190" s="85" t="str">
        <f t="shared" si="259"/>
        <v>NOEC</v>
      </c>
      <c r="AG190" s="9">
        <f t="shared" si="260"/>
        <v>1</v>
      </c>
      <c r="AH190" s="18">
        <f t="shared" si="261"/>
        <v>17.201075972565171</v>
      </c>
      <c r="AI190" s="88" t="str">
        <f t="shared" si="262"/>
        <v>Chronic</v>
      </c>
      <c r="AJ190" s="9">
        <f t="shared" si="263"/>
        <v>1</v>
      </c>
      <c r="AK190" s="18">
        <f t="shared" si="264"/>
        <v>17.201075972565171</v>
      </c>
      <c r="AL190" s="16"/>
      <c r="AM190" s="110" t="str">
        <f t="shared" si="265"/>
        <v>NOEC</v>
      </c>
      <c r="AN190" s="111" t="s">
        <v>356</v>
      </c>
      <c r="AO190" s="112" t="str">
        <f t="shared" si="266"/>
        <v>Chronic</v>
      </c>
      <c r="AP190" s="111" t="str">
        <f t="shared" si="271"/>
        <v>y</v>
      </c>
      <c r="AQ190" s="134" t="str">
        <f t="shared" si="267"/>
        <v>Mortality</v>
      </c>
      <c r="AR190" s="111" t="s">
        <v>55</v>
      </c>
      <c r="AS190" s="114">
        <f t="shared" si="268"/>
        <v>21</v>
      </c>
      <c r="AT190" s="111" t="s">
        <v>477</v>
      </c>
      <c r="AU190" s="111"/>
      <c r="AV190" s="138">
        <f t="shared" si="269"/>
        <v>17.201075972565171</v>
      </c>
      <c r="AW190" s="135">
        <f>GEOMEAN(AV190:AV190)</f>
        <v>17.201075972565171</v>
      </c>
      <c r="AX190" s="136">
        <f>MIN(AW190)</f>
        <v>17.201075972565171</v>
      </c>
      <c r="AY190" s="137">
        <f>MIN(AX188:AX190)</f>
        <v>17.201075972565171</v>
      </c>
    </row>
    <row r="191" spans="1:52" x14ac:dyDescent="0.2">
      <c r="A191" s="19" t="s">
        <v>90</v>
      </c>
      <c r="B191" s="23">
        <v>231</v>
      </c>
      <c r="C191" s="10" t="s">
        <v>24</v>
      </c>
      <c r="D191" s="11" t="s">
        <v>91</v>
      </c>
      <c r="E191" s="9" t="s">
        <v>61</v>
      </c>
      <c r="F191" s="9" t="s">
        <v>92</v>
      </c>
      <c r="G191" s="9" t="s">
        <v>93</v>
      </c>
      <c r="H191" s="9" t="s">
        <v>571</v>
      </c>
      <c r="I191" s="9" t="s">
        <v>94</v>
      </c>
      <c r="J191" s="12" t="s">
        <v>53</v>
      </c>
      <c r="K191" s="12" t="s">
        <v>95</v>
      </c>
      <c r="L191" s="12" t="s">
        <v>54</v>
      </c>
      <c r="M191" s="9">
        <v>29</v>
      </c>
      <c r="N191" s="9" t="s">
        <v>55</v>
      </c>
      <c r="O191" s="9" t="s">
        <v>33</v>
      </c>
      <c r="P191" s="14" t="s">
        <v>96</v>
      </c>
      <c r="Q191" s="23">
        <v>15.8</v>
      </c>
      <c r="R191" s="94">
        <v>15.8</v>
      </c>
      <c r="S191" s="9">
        <v>8.3699999999999992</v>
      </c>
      <c r="T191" s="9">
        <v>8.3699999999999992</v>
      </c>
      <c r="U191" s="9">
        <v>6.3609999999999998</v>
      </c>
      <c r="V191" s="9">
        <v>0.94899999999999995</v>
      </c>
      <c r="W191" s="9">
        <v>66</v>
      </c>
      <c r="X191" s="9">
        <v>66</v>
      </c>
      <c r="Y191" s="9">
        <v>0.94899999999999995</v>
      </c>
      <c r="Z191" s="15">
        <f t="shared" si="256"/>
        <v>4.1349303568432507</v>
      </c>
      <c r="AA191" s="15">
        <f t="shared" si="270"/>
        <v>2.5993705803166747</v>
      </c>
      <c r="AC191" s="16">
        <f t="shared" si="257"/>
        <v>0.20796966871036979</v>
      </c>
      <c r="AD191" s="26">
        <f t="shared" si="258"/>
        <v>4.8083934844972802</v>
      </c>
      <c r="AE191" s="51">
        <v>23</v>
      </c>
      <c r="AF191" s="85" t="str">
        <f t="shared" si="259"/>
        <v>NOEC</v>
      </c>
      <c r="AG191" s="9">
        <f t="shared" si="260"/>
        <v>1</v>
      </c>
      <c r="AH191" s="18">
        <f t="shared" si="261"/>
        <v>2.5993705803166747</v>
      </c>
      <c r="AI191" s="88" t="str">
        <f t="shared" si="262"/>
        <v>Chronic</v>
      </c>
      <c r="AJ191" s="9">
        <f t="shared" si="263"/>
        <v>1</v>
      </c>
      <c r="AK191" s="18">
        <f t="shared" si="264"/>
        <v>2.5993705803166747</v>
      </c>
      <c r="AL191" s="16"/>
      <c r="AM191" s="127" t="str">
        <f t="shared" si="265"/>
        <v>NOEC</v>
      </c>
      <c r="AN191" s="128" t="s">
        <v>356</v>
      </c>
      <c r="AO191" s="129" t="str">
        <f t="shared" si="266"/>
        <v>Chronic</v>
      </c>
      <c r="AP191" s="128" t="str">
        <f t="shared" si="271"/>
        <v>y</v>
      </c>
      <c r="AQ191" s="130" t="str">
        <f t="shared" si="267"/>
        <v>Mortality (of juvenile Deleatidium sp.)</v>
      </c>
      <c r="AR191" s="128" t="s">
        <v>459</v>
      </c>
      <c r="AS191" s="131">
        <f t="shared" si="268"/>
        <v>29</v>
      </c>
      <c r="AT191" s="128" t="s">
        <v>460</v>
      </c>
      <c r="AU191" s="128"/>
      <c r="AV191" s="143">
        <f t="shared" si="269"/>
        <v>2.5993705803166747</v>
      </c>
      <c r="AW191" s="144">
        <f t="shared" ref="AW191:AW192" si="272">GEOMEAN(AV191:AV191)</f>
        <v>2.5993705803166747</v>
      </c>
      <c r="AX191" s="141">
        <f>MIN(AW191)</f>
        <v>2.5993705803166747</v>
      </c>
      <c r="AY191" s="142">
        <f>MIN(AX191:AX191)</f>
        <v>2.5993705803166747</v>
      </c>
    </row>
    <row r="192" spans="1:52" x14ac:dyDescent="0.2">
      <c r="A192" s="32" t="s">
        <v>97</v>
      </c>
      <c r="B192" s="44">
        <v>221</v>
      </c>
      <c r="C192" s="34" t="s">
        <v>24</v>
      </c>
      <c r="D192" s="35" t="s">
        <v>98</v>
      </c>
      <c r="E192" s="33" t="s">
        <v>61</v>
      </c>
      <c r="F192" s="33" t="s">
        <v>99</v>
      </c>
      <c r="G192" s="33" t="s">
        <v>93</v>
      </c>
      <c r="H192" s="33" t="s">
        <v>571</v>
      </c>
      <c r="I192" s="36" t="s">
        <v>100</v>
      </c>
      <c r="J192" s="36" t="s">
        <v>64</v>
      </c>
      <c r="K192" s="44" t="s">
        <v>101</v>
      </c>
      <c r="L192" s="36" t="s">
        <v>54</v>
      </c>
      <c r="M192" s="36">
        <v>10</v>
      </c>
      <c r="N192" s="33" t="s">
        <v>102</v>
      </c>
      <c r="O192" s="33" t="s">
        <v>33</v>
      </c>
      <c r="P192" s="45" t="s">
        <v>103</v>
      </c>
      <c r="Q192" s="44">
        <v>25</v>
      </c>
      <c r="R192" s="44">
        <v>25</v>
      </c>
      <c r="S192" s="33" t="s">
        <v>104</v>
      </c>
      <c r="T192" s="33">
        <v>8.0399999999999991</v>
      </c>
      <c r="U192" s="46">
        <v>5.8536524151080886</v>
      </c>
      <c r="V192" s="33">
        <v>2.5</v>
      </c>
      <c r="W192" s="33" t="s">
        <v>37</v>
      </c>
      <c r="X192" s="39">
        <f t="shared" ref="X192" si="273">(V192)*(U192/100)*1000</f>
        <v>146.3413103777022</v>
      </c>
      <c r="Y192" s="33">
        <v>2.5</v>
      </c>
      <c r="Z192" s="40">
        <f t="shared" si="256"/>
        <v>6.4367096033276967</v>
      </c>
      <c r="AA192" s="40">
        <f t="shared" si="270"/>
        <v>7.3225764756673009</v>
      </c>
      <c r="AC192" s="16">
        <f t="shared" si="257"/>
        <v>0.4446312674691093</v>
      </c>
      <c r="AD192" s="26">
        <f t="shared" si="258"/>
        <v>2.2490546058357781</v>
      </c>
      <c r="AE192" s="51">
        <v>23</v>
      </c>
      <c r="AF192" s="85" t="str">
        <f t="shared" si="259"/>
        <v>NOEC</v>
      </c>
      <c r="AG192" s="9">
        <f t="shared" si="260"/>
        <v>1</v>
      </c>
      <c r="AH192" s="18">
        <f t="shared" si="261"/>
        <v>7.3225764756673009</v>
      </c>
      <c r="AI192" s="88" t="str">
        <f t="shared" si="262"/>
        <v>Chronic</v>
      </c>
      <c r="AJ192" s="9">
        <f t="shared" si="263"/>
        <v>1</v>
      </c>
      <c r="AK192" s="18">
        <f t="shared" si="264"/>
        <v>7.3225764756673009</v>
      </c>
      <c r="AL192" s="16"/>
      <c r="AM192" s="101" t="str">
        <f t="shared" si="265"/>
        <v>NOEC</v>
      </c>
      <c r="AN192" s="102" t="s">
        <v>356</v>
      </c>
      <c r="AO192" s="103" t="str">
        <f t="shared" si="266"/>
        <v>Chronic</v>
      </c>
      <c r="AP192" s="102" t="str">
        <f t="shared" si="271"/>
        <v>y</v>
      </c>
      <c r="AQ192" s="104" t="str">
        <f t="shared" si="267"/>
        <v>Reproduction (average young per replicate)</v>
      </c>
      <c r="AR192" s="102" t="s">
        <v>459</v>
      </c>
      <c r="AS192" s="105">
        <f t="shared" si="268"/>
        <v>10</v>
      </c>
      <c r="AT192" s="102" t="s">
        <v>460</v>
      </c>
      <c r="AU192" s="102"/>
      <c r="AV192" s="147">
        <f t="shared" si="269"/>
        <v>7.3225764756673009</v>
      </c>
      <c r="AW192" s="118">
        <f t="shared" si="272"/>
        <v>7.3225764756673009</v>
      </c>
      <c r="AX192" s="73">
        <f>MIN(AW192:AW192)</f>
        <v>7.3225764756673009</v>
      </c>
      <c r="AY192" s="126">
        <f>MIN(AX192:AX192)</f>
        <v>7.3225764756673009</v>
      </c>
    </row>
    <row r="193" spans="1:52" x14ac:dyDescent="0.2">
      <c r="A193" s="19" t="s">
        <v>119</v>
      </c>
      <c r="B193" s="9">
        <v>235</v>
      </c>
      <c r="C193" s="10" t="s">
        <v>24</v>
      </c>
      <c r="D193" s="11" t="s">
        <v>120</v>
      </c>
      <c r="E193" s="9" t="s">
        <v>121</v>
      </c>
      <c r="F193" s="9" t="s">
        <v>122</v>
      </c>
      <c r="G193" s="9" t="s">
        <v>52</v>
      </c>
      <c r="H193" s="9" t="s">
        <v>571</v>
      </c>
      <c r="I193" s="12" t="s">
        <v>37</v>
      </c>
      <c r="J193" s="12" t="s">
        <v>123</v>
      </c>
      <c r="K193" s="12" t="s">
        <v>123</v>
      </c>
      <c r="L193" s="12" t="s">
        <v>54</v>
      </c>
      <c r="M193" s="12">
        <v>40</v>
      </c>
      <c r="N193" s="9" t="s">
        <v>55</v>
      </c>
      <c r="O193" s="13" t="s">
        <v>33</v>
      </c>
      <c r="P193" s="14" t="s">
        <v>56</v>
      </c>
      <c r="Q193" s="9" t="s">
        <v>438</v>
      </c>
      <c r="R193" s="9">
        <v>15.3</v>
      </c>
      <c r="S193" s="9" t="s">
        <v>124</v>
      </c>
      <c r="T193" s="9">
        <v>8.1</v>
      </c>
      <c r="U193" s="9">
        <v>3.3940000000000001</v>
      </c>
      <c r="V193" s="18">
        <v>2.1</v>
      </c>
      <c r="W193" s="9">
        <v>70</v>
      </c>
      <c r="X193" s="9">
        <v>70</v>
      </c>
      <c r="Y193" s="18">
        <v>2.1</v>
      </c>
      <c r="Z193" s="15">
        <f t="shared" si="256"/>
        <v>5.9178920071141139</v>
      </c>
      <c r="AA193" s="15">
        <f t="shared" si="270"/>
        <v>3.6021934787080618</v>
      </c>
      <c r="AC193" s="16">
        <f t="shared" si="257"/>
        <v>0.38725764492161724</v>
      </c>
      <c r="AD193" s="26">
        <f t="shared" si="258"/>
        <v>2.5822601906345959</v>
      </c>
      <c r="AE193" s="51">
        <v>23</v>
      </c>
      <c r="AF193" s="85" t="str">
        <f t="shared" si="259"/>
        <v>NOEC</v>
      </c>
      <c r="AG193" s="9">
        <f t="shared" si="260"/>
        <v>1</v>
      </c>
      <c r="AH193" s="18">
        <f t="shared" si="261"/>
        <v>3.6021934787080618</v>
      </c>
      <c r="AI193" s="88" t="str">
        <f t="shared" si="262"/>
        <v>Chronic</v>
      </c>
      <c r="AJ193" s="9">
        <f t="shared" si="263"/>
        <v>1</v>
      </c>
      <c r="AK193" s="18">
        <f t="shared" si="264"/>
        <v>3.6021934787080618</v>
      </c>
      <c r="AL193" s="16"/>
      <c r="AM193" s="127" t="str">
        <f t="shared" si="265"/>
        <v>NOEC</v>
      </c>
      <c r="AN193" s="128" t="s">
        <v>356</v>
      </c>
      <c r="AO193" s="129" t="str">
        <f t="shared" si="266"/>
        <v>Chronic</v>
      </c>
      <c r="AP193" s="128" t="str">
        <f t="shared" si="271"/>
        <v>y</v>
      </c>
      <c r="AQ193" s="130" t="str">
        <f t="shared" si="267"/>
        <v>Immobility</v>
      </c>
      <c r="AR193" s="128" t="s">
        <v>459</v>
      </c>
      <c r="AS193" s="131">
        <f t="shared" si="268"/>
        <v>40</v>
      </c>
      <c r="AT193" s="128" t="s">
        <v>460</v>
      </c>
      <c r="AU193" s="128"/>
      <c r="AV193" s="143">
        <f>AK193</f>
        <v>3.6021934787080618</v>
      </c>
      <c r="AW193" s="144">
        <f>GEOMEAN(AV193:AV193)</f>
        <v>3.6021934787080618</v>
      </c>
      <c r="AX193" s="148">
        <f>MIN(AW193)</f>
        <v>3.6021934787080618</v>
      </c>
      <c r="AY193" s="149">
        <f>MIN(AX193)</f>
        <v>3.6021934787080618</v>
      </c>
    </row>
    <row r="194" spans="1:52" x14ac:dyDescent="0.2">
      <c r="A194" s="32" t="s">
        <v>132</v>
      </c>
      <c r="B194" s="33">
        <v>254</v>
      </c>
      <c r="C194" s="34" t="s">
        <v>24</v>
      </c>
      <c r="D194" s="35" t="s">
        <v>126</v>
      </c>
      <c r="E194" s="33" t="s">
        <v>121</v>
      </c>
      <c r="F194" s="33" t="s">
        <v>127</v>
      </c>
      <c r="G194" s="33" t="s">
        <v>52</v>
      </c>
      <c r="H194" s="33" t="s">
        <v>571</v>
      </c>
      <c r="I194" s="36" t="s">
        <v>128</v>
      </c>
      <c r="J194" s="36" t="s">
        <v>53</v>
      </c>
      <c r="K194" s="36" t="s">
        <v>53</v>
      </c>
      <c r="L194" s="36" t="s">
        <v>133</v>
      </c>
      <c r="M194" s="36">
        <v>28</v>
      </c>
      <c r="N194" s="33" t="s">
        <v>55</v>
      </c>
      <c r="O194" s="37" t="s">
        <v>33</v>
      </c>
      <c r="P194" s="38" t="s">
        <v>129</v>
      </c>
      <c r="Q194" s="33" t="s">
        <v>130</v>
      </c>
      <c r="R194" s="33">
        <v>20</v>
      </c>
      <c r="S194" s="33" t="s">
        <v>131</v>
      </c>
      <c r="T194" s="33">
        <v>8.1999999999999993</v>
      </c>
      <c r="U194" s="33">
        <v>5.9020000000000001</v>
      </c>
      <c r="V194" s="33" t="s">
        <v>134</v>
      </c>
      <c r="W194" s="33" t="s">
        <v>37</v>
      </c>
      <c r="X194" s="33">
        <v>7.67</v>
      </c>
      <c r="Y194" s="33">
        <v>0.13</v>
      </c>
      <c r="Z194" s="40">
        <f t="shared" si="256"/>
        <v>0.4284575216169903</v>
      </c>
      <c r="AA194" s="40">
        <f t="shared" si="270"/>
        <v>0.35310817422856905</v>
      </c>
      <c r="AB194" t="s">
        <v>577</v>
      </c>
      <c r="AC194" s="16">
        <f t="shared" si="257"/>
        <v>0.30760968147407108</v>
      </c>
      <c r="AD194" s="26">
        <f t="shared" si="258"/>
        <v>3.2508729738543409</v>
      </c>
      <c r="AE194" s="51">
        <v>23</v>
      </c>
      <c r="AF194" s="85" t="str">
        <f t="shared" si="259"/>
        <v>IC10</v>
      </c>
      <c r="AG194" s="9">
        <f t="shared" si="260"/>
        <v>1</v>
      </c>
      <c r="AH194" s="18">
        <f t="shared" si="261"/>
        <v>0.35310817422856905</v>
      </c>
      <c r="AI194" s="88" t="str">
        <f t="shared" si="262"/>
        <v>Chronic</v>
      </c>
      <c r="AJ194" s="9">
        <f t="shared" si="263"/>
        <v>1</v>
      </c>
      <c r="AK194" s="18">
        <f t="shared" si="264"/>
        <v>0.35310817422856905</v>
      </c>
      <c r="AL194" s="16"/>
      <c r="AM194" s="132" t="str">
        <f t="shared" si="265"/>
        <v>IC10</v>
      </c>
      <c r="AN194" s="67" t="s">
        <v>356</v>
      </c>
      <c r="AO194" s="88" t="str">
        <f t="shared" si="266"/>
        <v>Chronic</v>
      </c>
      <c r="AP194" s="67" t="str">
        <f t="shared" si="271"/>
        <v>y</v>
      </c>
      <c r="AQ194" s="69" t="str">
        <f t="shared" si="267"/>
        <v>Mortality</v>
      </c>
      <c r="AR194" s="67" t="s">
        <v>459</v>
      </c>
      <c r="AS194" s="70">
        <f t="shared" si="268"/>
        <v>28</v>
      </c>
      <c r="AT194" s="67" t="s">
        <v>460</v>
      </c>
      <c r="AU194" s="67"/>
      <c r="AV194" s="151">
        <f>AK194</f>
        <v>0.35310817422856905</v>
      </c>
      <c r="AW194" s="95">
        <f>GEOMEAN(AV194:AV194)</f>
        <v>0.35310817422856905</v>
      </c>
      <c r="AX194" s="96">
        <f>MIN(AW194)</f>
        <v>0.35310817422856905</v>
      </c>
      <c r="AY194" s="153">
        <f>MIN(AX194)</f>
        <v>0.35310817422856905</v>
      </c>
    </row>
    <row r="195" spans="1:52" x14ac:dyDescent="0.2">
      <c r="A195" s="19" t="s">
        <v>144</v>
      </c>
      <c r="B195" s="9">
        <v>253</v>
      </c>
      <c r="C195" s="10" t="s">
        <v>24</v>
      </c>
      <c r="D195" s="11" t="s">
        <v>139</v>
      </c>
      <c r="E195" s="9" t="s">
        <v>121</v>
      </c>
      <c r="F195" s="9" t="s">
        <v>127</v>
      </c>
      <c r="G195" s="9" t="s">
        <v>52</v>
      </c>
      <c r="H195" s="9" t="s">
        <v>571</v>
      </c>
      <c r="I195" s="12" t="s">
        <v>140</v>
      </c>
      <c r="J195" s="12" t="s">
        <v>53</v>
      </c>
      <c r="K195" s="12" t="s">
        <v>53</v>
      </c>
      <c r="L195" s="12" t="s">
        <v>31</v>
      </c>
      <c r="M195" s="12">
        <v>28</v>
      </c>
      <c r="N195" s="9" t="s">
        <v>55</v>
      </c>
      <c r="O195" s="13" t="s">
        <v>33</v>
      </c>
      <c r="P195" s="14" t="s">
        <v>141</v>
      </c>
      <c r="Q195" s="9">
        <v>20</v>
      </c>
      <c r="R195" s="9">
        <v>20</v>
      </c>
      <c r="S195" s="9" t="s">
        <v>142</v>
      </c>
      <c r="T195" s="9">
        <v>8.26</v>
      </c>
      <c r="U195" s="9">
        <v>6.718</v>
      </c>
      <c r="V195" s="9">
        <v>0.54</v>
      </c>
      <c r="W195" s="9" t="s">
        <v>37</v>
      </c>
      <c r="X195" s="9">
        <v>36.299999999999997</v>
      </c>
      <c r="Y195" s="9">
        <v>0.54</v>
      </c>
      <c r="Z195" s="15">
        <f t="shared" si="256"/>
        <v>1.9610361754850452</v>
      </c>
      <c r="AA195" s="15">
        <f t="shared" si="270"/>
        <v>1.6161646571365522</v>
      </c>
      <c r="AC195" s="16">
        <f t="shared" si="257"/>
        <v>0.26791683248190312</v>
      </c>
      <c r="AD195" s="26">
        <f t="shared" si="258"/>
        <v>3.7325015779572066</v>
      </c>
      <c r="AE195" s="51">
        <v>23</v>
      </c>
      <c r="AF195" s="85" t="str">
        <f t="shared" si="259"/>
        <v>EC10</v>
      </c>
      <c r="AG195" s="9">
        <f t="shared" si="260"/>
        <v>1</v>
      </c>
      <c r="AH195" s="18">
        <f t="shared" si="261"/>
        <v>1.6161646571365522</v>
      </c>
      <c r="AI195" s="88" t="str">
        <f t="shared" si="262"/>
        <v>Chronic</v>
      </c>
      <c r="AJ195" s="9">
        <f t="shared" si="263"/>
        <v>1</v>
      </c>
      <c r="AK195" s="18">
        <f t="shared" si="264"/>
        <v>1.6161646571365522</v>
      </c>
      <c r="AM195" s="101" t="str">
        <f t="shared" si="265"/>
        <v>EC10</v>
      </c>
      <c r="AN195" s="102" t="s">
        <v>356</v>
      </c>
      <c r="AO195" s="103" t="str">
        <f t="shared" si="266"/>
        <v>Chronic</v>
      </c>
      <c r="AP195" s="102" t="str">
        <f t="shared" si="271"/>
        <v>y</v>
      </c>
      <c r="AQ195" s="104" t="str">
        <f t="shared" si="267"/>
        <v>Mortality</v>
      </c>
      <c r="AR195" s="196" t="s">
        <v>459</v>
      </c>
      <c r="AS195" s="105">
        <f t="shared" si="268"/>
        <v>28</v>
      </c>
      <c r="AT195" s="158" t="s">
        <v>460</v>
      </c>
      <c r="AU195" s="197"/>
      <c r="AV195" s="154">
        <f t="shared" ref="AV195:AV198" si="274">AK195</f>
        <v>1.6161646571365522</v>
      </c>
      <c r="AW195" s="155"/>
      <c r="AX195" s="197"/>
      <c r="AY195" s="198"/>
    </row>
    <row r="196" spans="1:52" x14ac:dyDescent="0.2">
      <c r="A196" s="19" t="s">
        <v>146</v>
      </c>
      <c r="B196" s="9">
        <v>254</v>
      </c>
      <c r="C196" s="10" t="s">
        <v>24</v>
      </c>
      <c r="D196" s="11" t="s">
        <v>139</v>
      </c>
      <c r="E196" s="9" t="s">
        <v>121</v>
      </c>
      <c r="F196" s="9" t="s">
        <v>127</v>
      </c>
      <c r="G196" s="9" t="s">
        <v>52</v>
      </c>
      <c r="H196" s="9" t="s">
        <v>571</v>
      </c>
      <c r="I196" s="12" t="s">
        <v>140</v>
      </c>
      <c r="J196" s="12" t="s">
        <v>53</v>
      </c>
      <c r="K196" s="12" t="s">
        <v>53</v>
      </c>
      <c r="L196" s="12" t="s">
        <v>133</v>
      </c>
      <c r="M196" s="12">
        <v>28</v>
      </c>
      <c r="N196" s="9" t="s">
        <v>55</v>
      </c>
      <c r="O196" s="13" t="s">
        <v>33</v>
      </c>
      <c r="P196" s="14" t="s">
        <v>129</v>
      </c>
      <c r="Q196" s="9" t="s">
        <v>130</v>
      </c>
      <c r="R196" s="9">
        <v>20</v>
      </c>
      <c r="S196" s="9" t="s">
        <v>131</v>
      </c>
      <c r="T196" s="9">
        <v>8.1999999999999993</v>
      </c>
      <c r="U196" s="9">
        <v>5.9020000000000001</v>
      </c>
      <c r="V196" s="9" t="s">
        <v>134</v>
      </c>
      <c r="W196" s="9" t="s">
        <v>37</v>
      </c>
      <c r="X196" s="9">
        <v>7.67</v>
      </c>
      <c r="Y196" s="9">
        <v>0.13</v>
      </c>
      <c r="Z196" s="15">
        <f t="shared" si="256"/>
        <v>0.4284575216169903</v>
      </c>
      <c r="AA196" s="15">
        <f t="shared" si="270"/>
        <v>0.35310817422856905</v>
      </c>
      <c r="AB196" t="s">
        <v>577</v>
      </c>
      <c r="AC196" s="16">
        <f t="shared" si="257"/>
        <v>0.30760968147407108</v>
      </c>
      <c r="AD196" s="26">
        <f t="shared" si="258"/>
        <v>3.2508729738543409</v>
      </c>
      <c r="AE196" s="51">
        <v>23</v>
      </c>
      <c r="AF196" s="85" t="str">
        <f t="shared" si="259"/>
        <v>IC10</v>
      </c>
      <c r="AG196" s="9">
        <f t="shared" si="260"/>
        <v>1</v>
      </c>
      <c r="AH196" s="18">
        <f t="shared" si="261"/>
        <v>0.35310817422856905</v>
      </c>
      <c r="AI196" s="88" t="str">
        <f t="shared" si="262"/>
        <v>Chronic</v>
      </c>
      <c r="AJ196" s="9">
        <f t="shared" si="263"/>
        <v>1</v>
      </c>
      <c r="AK196" s="18">
        <f t="shared" si="264"/>
        <v>0.35310817422856905</v>
      </c>
      <c r="AL196" s="16"/>
      <c r="AM196" s="110" t="str">
        <f t="shared" si="265"/>
        <v>IC10</v>
      </c>
      <c r="AN196" s="111" t="s">
        <v>356</v>
      </c>
      <c r="AO196" s="112" t="str">
        <f t="shared" si="266"/>
        <v>Chronic</v>
      </c>
      <c r="AP196" s="111" t="str">
        <f t="shared" si="271"/>
        <v>y</v>
      </c>
      <c r="AQ196" s="134" t="str">
        <f t="shared" si="267"/>
        <v>Mortality</v>
      </c>
      <c r="AR196" s="199" t="s">
        <v>459</v>
      </c>
      <c r="AS196" s="114">
        <f t="shared" si="268"/>
        <v>28</v>
      </c>
      <c r="AT196" s="199" t="s">
        <v>460</v>
      </c>
      <c r="AU196" s="200"/>
      <c r="AV196" s="152">
        <f t="shared" si="274"/>
        <v>0.35310817422856905</v>
      </c>
      <c r="AW196" s="116">
        <f>GEOMEAN(AV195:AV196)</f>
        <v>0.7554342799570517</v>
      </c>
      <c r="AX196" s="117">
        <f>MIN(AW196)</f>
        <v>0.7554342799570517</v>
      </c>
      <c r="AY196" s="125">
        <f>MIN(AX196:AX196)</f>
        <v>0.7554342799570517</v>
      </c>
    </row>
    <row r="197" spans="1:52" x14ac:dyDescent="0.2">
      <c r="A197" s="32" t="s">
        <v>148</v>
      </c>
      <c r="B197" s="33">
        <v>256</v>
      </c>
      <c r="C197" s="38" t="s">
        <v>24</v>
      </c>
      <c r="D197" s="35" t="s">
        <v>149</v>
      </c>
      <c r="E197" s="33" t="s">
        <v>121</v>
      </c>
      <c r="F197" s="33" t="s">
        <v>127</v>
      </c>
      <c r="G197" s="33" t="s">
        <v>52</v>
      </c>
      <c r="H197" s="33" t="s">
        <v>571</v>
      </c>
      <c r="I197" s="33" t="s">
        <v>37</v>
      </c>
      <c r="J197" s="36" t="s">
        <v>53</v>
      </c>
      <c r="K197" s="36" t="s">
        <v>53</v>
      </c>
      <c r="L197" s="36" t="s">
        <v>54</v>
      </c>
      <c r="M197" s="36">
        <v>6</v>
      </c>
      <c r="N197" s="33" t="s">
        <v>102</v>
      </c>
      <c r="O197" s="37" t="s">
        <v>33</v>
      </c>
      <c r="P197" s="38" t="s">
        <v>150</v>
      </c>
      <c r="Q197" s="33" t="s">
        <v>151</v>
      </c>
      <c r="R197" s="33">
        <v>21.8</v>
      </c>
      <c r="S197" s="33" t="s">
        <v>152</v>
      </c>
      <c r="T197" s="33">
        <v>7.8</v>
      </c>
      <c r="U197" s="33">
        <v>2.7679999999999998</v>
      </c>
      <c r="V197" s="33" t="s">
        <v>37</v>
      </c>
      <c r="W197" s="33">
        <v>30</v>
      </c>
      <c r="X197" s="33">
        <v>30</v>
      </c>
      <c r="Y197" s="40">
        <f t="shared" ref="Y197" si="275">X197/((U197/100)*1000)</f>
        <v>1.0838150289017343</v>
      </c>
      <c r="Z197" s="40">
        <f t="shared" si="256"/>
        <v>2.0127302212112239</v>
      </c>
      <c r="AA197" s="40">
        <f t="shared" si="270"/>
        <v>1.8628829488848127</v>
      </c>
      <c r="AB197" s="16"/>
      <c r="AC197" s="16">
        <f t="shared" si="257"/>
        <v>0.77268058509570214</v>
      </c>
      <c r="AD197" s="26">
        <f t="shared" si="258"/>
        <v>1.2941958414499863</v>
      </c>
      <c r="AE197" s="51">
        <v>23</v>
      </c>
      <c r="AF197" s="85" t="str">
        <f t="shared" si="259"/>
        <v>NOEC</v>
      </c>
      <c r="AG197" s="9">
        <f t="shared" si="260"/>
        <v>1</v>
      </c>
      <c r="AH197" s="18">
        <f t="shared" si="261"/>
        <v>1.8628829488848127</v>
      </c>
      <c r="AI197" s="88" t="str">
        <f t="shared" si="262"/>
        <v>Chronic</v>
      </c>
      <c r="AJ197" s="9">
        <f t="shared" si="263"/>
        <v>1</v>
      </c>
      <c r="AK197" s="18">
        <f t="shared" si="264"/>
        <v>1.8628829488848127</v>
      </c>
      <c r="AL197" s="16"/>
      <c r="AM197" s="101" t="str">
        <f t="shared" si="265"/>
        <v>NOEC</v>
      </c>
      <c r="AN197" s="102" t="s">
        <v>356</v>
      </c>
      <c r="AO197" s="103" t="str">
        <f t="shared" si="266"/>
        <v>Chronic</v>
      </c>
      <c r="AP197" s="102" t="str">
        <f t="shared" si="271"/>
        <v>y</v>
      </c>
      <c r="AQ197" s="104" t="str">
        <f t="shared" si="267"/>
        <v>Mortality</v>
      </c>
      <c r="AR197" s="102" t="s">
        <v>459</v>
      </c>
      <c r="AS197" s="105">
        <f t="shared" si="268"/>
        <v>6</v>
      </c>
      <c r="AT197" s="102" t="s">
        <v>460</v>
      </c>
      <c r="AU197" s="102"/>
      <c r="AV197" s="154">
        <f t="shared" si="274"/>
        <v>1.8628829488848127</v>
      </c>
      <c r="AW197" s="118">
        <f>GEOMEAN(AV197)</f>
        <v>1.8628829488848127</v>
      </c>
      <c r="AX197" s="119">
        <f>MIN(AW197:AW197)</f>
        <v>1.8628829488848127</v>
      </c>
      <c r="AY197" s="126">
        <f>MIN(AX197)</f>
        <v>1.8628829488848127</v>
      </c>
    </row>
    <row r="198" spans="1:52" x14ac:dyDescent="0.2">
      <c r="A198" s="8" t="s">
        <v>168</v>
      </c>
      <c r="B198" s="9">
        <v>242</v>
      </c>
      <c r="C198" s="10" t="s">
        <v>24</v>
      </c>
      <c r="D198" s="11" t="s">
        <v>155</v>
      </c>
      <c r="E198" s="9" t="s">
        <v>121</v>
      </c>
      <c r="F198" s="9" t="s">
        <v>127</v>
      </c>
      <c r="G198" s="9" t="s">
        <v>52</v>
      </c>
      <c r="H198" s="9" t="s">
        <v>571</v>
      </c>
      <c r="I198" s="12" t="s">
        <v>156</v>
      </c>
      <c r="J198" s="12" t="s">
        <v>136</v>
      </c>
      <c r="K198" s="12" t="s">
        <v>169</v>
      </c>
      <c r="L198" s="12" t="s">
        <v>54</v>
      </c>
      <c r="M198" s="12">
        <v>60</v>
      </c>
      <c r="N198" s="9" t="s">
        <v>55</v>
      </c>
      <c r="O198" s="13" t="s">
        <v>33</v>
      </c>
      <c r="P198" s="14" t="s">
        <v>157</v>
      </c>
      <c r="Q198" s="9">
        <v>20</v>
      </c>
      <c r="R198" s="9">
        <v>20</v>
      </c>
      <c r="S198" s="28" t="s">
        <v>158</v>
      </c>
      <c r="T198" s="28">
        <v>7.73</v>
      </c>
      <c r="U198" s="26" t="s">
        <v>170</v>
      </c>
      <c r="V198" s="9">
        <v>0.65</v>
      </c>
      <c r="W198" s="9">
        <v>12</v>
      </c>
      <c r="X198" s="9">
        <v>12</v>
      </c>
      <c r="Y198" s="9">
        <v>0.65</v>
      </c>
      <c r="Z198" s="15">
        <f t="shared" si="256"/>
        <v>1.1105489745328638</v>
      </c>
      <c r="AA198" s="15">
        <f t="shared" si="270"/>
        <v>0.91524573850113711</v>
      </c>
      <c r="AC198" s="16">
        <f t="shared" si="257"/>
        <v>0.90782053017818432</v>
      </c>
      <c r="AD198" s="26">
        <f t="shared" si="258"/>
        <v>1.1015393095414168</v>
      </c>
      <c r="AE198" s="51">
        <v>23</v>
      </c>
      <c r="AF198" s="85" t="str">
        <f t="shared" si="259"/>
        <v>NOEC</v>
      </c>
      <c r="AG198" s="9">
        <f t="shared" si="260"/>
        <v>1</v>
      </c>
      <c r="AH198" s="18">
        <f t="shared" si="261"/>
        <v>0.91524573850113711</v>
      </c>
      <c r="AI198" s="88" t="str">
        <f t="shared" si="262"/>
        <v>Chronic</v>
      </c>
      <c r="AJ198" s="9">
        <f t="shared" si="263"/>
        <v>1</v>
      </c>
      <c r="AK198" s="18">
        <f t="shared" si="264"/>
        <v>0.91524573850113711</v>
      </c>
      <c r="AL198" s="16"/>
      <c r="AM198" s="110" t="str">
        <f t="shared" si="265"/>
        <v>NOEC</v>
      </c>
      <c r="AN198" s="111" t="s">
        <v>356</v>
      </c>
      <c r="AO198" s="112" t="str">
        <f t="shared" si="266"/>
        <v>Chronic</v>
      </c>
      <c r="AP198" s="111" t="str">
        <f t="shared" si="271"/>
        <v>y</v>
      </c>
      <c r="AQ198" s="134" t="str">
        <f t="shared" si="267"/>
        <v>Length</v>
      </c>
      <c r="AR198" s="111" t="s">
        <v>475</v>
      </c>
      <c r="AS198" s="114">
        <f t="shared" si="268"/>
        <v>60</v>
      </c>
      <c r="AT198" s="111" t="s">
        <v>476</v>
      </c>
      <c r="AU198" s="111"/>
      <c r="AV198" s="152">
        <f t="shared" si="274"/>
        <v>0.91524573850113711</v>
      </c>
      <c r="AW198" s="116">
        <f>GEOMEAN(AV198)</f>
        <v>0.91524573850113711</v>
      </c>
      <c r="AX198" s="117">
        <f>MIN(AW198)</f>
        <v>0.91524573850113711</v>
      </c>
      <c r="AY198" s="125">
        <f>MIN(AX198:AX198)</f>
        <v>0.91524573850113711</v>
      </c>
    </row>
    <row r="199" spans="1:52" x14ac:dyDescent="0.2">
      <c r="A199" s="32" t="s">
        <v>176</v>
      </c>
      <c r="B199" s="33">
        <v>254</v>
      </c>
      <c r="C199" s="34" t="s">
        <v>24</v>
      </c>
      <c r="D199" s="35" t="s">
        <v>172</v>
      </c>
      <c r="E199" s="33" t="s">
        <v>121</v>
      </c>
      <c r="F199" s="33" t="s">
        <v>127</v>
      </c>
      <c r="G199" s="33" t="s">
        <v>52</v>
      </c>
      <c r="H199" s="33" t="s">
        <v>571</v>
      </c>
      <c r="I199" s="36" t="s">
        <v>128</v>
      </c>
      <c r="J199" s="36" t="s">
        <v>177</v>
      </c>
      <c r="K199" s="36" t="s">
        <v>137</v>
      </c>
      <c r="L199" s="36" t="s">
        <v>133</v>
      </c>
      <c r="M199" s="36">
        <v>28</v>
      </c>
      <c r="N199" s="33" t="s">
        <v>55</v>
      </c>
      <c r="O199" s="37" t="s">
        <v>33</v>
      </c>
      <c r="P199" s="38" t="s">
        <v>129</v>
      </c>
      <c r="Q199" s="33" t="s">
        <v>130</v>
      </c>
      <c r="R199" s="33">
        <v>20</v>
      </c>
      <c r="S199" s="33" t="s">
        <v>131</v>
      </c>
      <c r="T199" s="33">
        <v>8.1999999999999993</v>
      </c>
      <c r="U199" s="33">
        <v>5.9020000000000001</v>
      </c>
      <c r="V199" s="33" t="s">
        <v>175</v>
      </c>
      <c r="W199" s="33" t="s">
        <v>37</v>
      </c>
      <c r="X199" s="33">
        <v>23.6</v>
      </c>
      <c r="Y199" s="33">
        <v>0.4</v>
      </c>
      <c r="Z199" s="40">
        <f t="shared" si="256"/>
        <v>1.3183308357445855</v>
      </c>
      <c r="AA199" s="40">
        <f t="shared" si="270"/>
        <v>1.0864866899340586</v>
      </c>
      <c r="AB199" t="s">
        <v>577</v>
      </c>
      <c r="AC199" s="16">
        <f t="shared" si="257"/>
        <v>0.30760968147407108</v>
      </c>
      <c r="AD199" s="26">
        <f t="shared" si="258"/>
        <v>3.2508729738543409</v>
      </c>
      <c r="AE199" s="51">
        <v>23</v>
      </c>
      <c r="AF199" s="85" t="str">
        <f t="shared" si="259"/>
        <v>IC10</v>
      </c>
      <c r="AG199" s="9">
        <f t="shared" si="260"/>
        <v>1</v>
      </c>
      <c r="AH199" s="18">
        <f t="shared" si="261"/>
        <v>1.0864866899340586</v>
      </c>
      <c r="AI199" s="88" t="str">
        <f t="shared" si="262"/>
        <v>Chronic</v>
      </c>
      <c r="AJ199" s="9">
        <f t="shared" si="263"/>
        <v>1</v>
      </c>
      <c r="AK199" s="18">
        <f t="shared" si="264"/>
        <v>1.0864866899340586</v>
      </c>
      <c r="AL199" s="16"/>
      <c r="AM199" s="110" t="str">
        <f t="shared" si="265"/>
        <v>IC10</v>
      </c>
      <c r="AN199" s="111" t="s">
        <v>356</v>
      </c>
      <c r="AO199" s="112" t="str">
        <f t="shared" si="266"/>
        <v>Chronic</v>
      </c>
      <c r="AP199" s="111" t="str">
        <f t="shared" si="271"/>
        <v>y</v>
      </c>
      <c r="AQ199" s="134" t="str">
        <f t="shared" si="267"/>
        <v>Shell length</v>
      </c>
      <c r="AR199" s="111" t="s">
        <v>473</v>
      </c>
      <c r="AS199" s="114">
        <f t="shared" si="268"/>
        <v>28</v>
      </c>
      <c r="AT199" s="111" t="s">
        <v>474</v>
      </c>
      <c r="AU199" s="111"/>
      <c r="AV199" s="152">
        <f>AK199</f>
        <v>1.0864866899340586</v>
      </c>
      <c r="AW199" s="140">
        <f>GEOMEAN(AV199)</f>
        <v>1.0864866899340586</v>
      </c>
      <c r="AX199" s="141">
        <f>MIN(AW199)</f>
        <v>1.0864866899340586</v>
      </c>
      <c r="AY199" s="142">
        <f>MIN(AX199:AX199)</f>
        <v>1.0864866899340586</v>
      </c>
    </row>
    <row r="200" spans="1:52" x14ac:dyDescent="0.2">
      <c r="A200" s="193" t="s">
        <v>611</v>
      </c>
    </row>
    <row r="201" spans="1:52" x14ac:dyDescent="0.2">
      <c r="A201" s="32" t="s">
        <v>48</v>
      </c>
      <c r="B201" s="33">
        <v>236</v>
      </c>
      <c r="C201" s="34" t="s">
        <v>24</v>
      </c>
      <c r="D201" s="35" t="s">
        <v>49</v>
      </c>
      <c r="E201" s="33" t="s">
        <v>50</v>
      </c>
      <c r="F201" s="33" t="s">
        <v>51</v>
      </c>
      <c r="G201" s="33" t="s">
        <v>52</v>
      </c>
      <c r="H201" s="33" t="s">
        <v>571</v>
      </c>
      <c r="I201" s="36" t="s">
        <v>37</v>
      </c>
      <c r="J201" s="36" t="s">
        <v>53</v>
      </c>
      <c r="K201" s="36" t="s">
        <v>53</v>
      </c>
      <c r="L201" s="36" t="s">
        <v>54</v>
      </c>
      <c r="M201" s="36">
        <v>30</v>
      </c>
      <c r="N201" s="33" t="s">
        <v>55</v>
      </c>
      <c r="O201" s="37" t="s">
        <v>33</v>
      </c>
      <c r="P201" s="38" t="s">
        <v>56</v>
      </c>
      <c r="Q201" s="33" t="s">
        <v>57</v>
      </c>
      <c r="R201" s="40">
        <v>15.1</v>
      </c>
      <c r="S201" s="33" t="s">
        <v>58</v>
      </c>
      <c r="T201" s="33">
        <v>8.11</v>
      </c>
      <c r="U201" s="33">
        <v>3.42</v>
      </c>
      <c r="V201" s="33" t="s">
        <v>37</v>
      </c>
      <c r="W201" s="33">
        <v>20</v>
      </c>
      <c r="X201" s="40">
        <v>20</v>
      </c>
      <c r="Y201" s="40">
        <f t="shared" ref="Y201:Y205" si="276">X201/((U201/100)*1000)</f>
        <v>0.58479532163742687</v>
      </c>
      <c r="Z201" s="40">
        <f t="shared" ref="Z201:Z214" si="277">Y201/((0.0278/(1+AC201))+(1.1994/(1+AD201)))</f>
        <v>1.6734482467670493</v>
      </c>
      <c r="AA201" s="40">
        <f>POWER(10,LOG(Z201)-(-0.028*(R201-AE201)))</f>
        <v>0.94278417880836518</v>
      </c>
      <c r="AC201" s="16">
        <f t="shared" ref="AC201:AC214" si="278">POWER(10,7.688-T201)</f>
        <v>0.37844258471709358</v>
      </c>
      <c r="AD201" s="26">
        <f t="shared" ref="AD201:AD214" si="279">POWER(10,T201-7.688)</f>
        <v>2.6424087573219448</v>
      </c>
      <c r="AE201" s="51">
        <v>24</v>
      </c>
      <c r="AF201" s="85" t="str">
        <f t="shared" ref="AF201:AF214" si="280">L201</f>
        <v>NOEC</v>
      </c>
      <c r="AG201" s="9">
        <f t="shared" ref="AG201:AG214" si="281">VLOOKUP(AF201,$BD$6:$BE$17,2,FALSE)</f>
        <v>1</v>
      </c>
      <c r="AH201" s="18">
        <f t="shared" ref="AH201:AH214" si="282">AA201/AG201</f>
        <v>0.94278417880836518</v>
      </c>
      <c r="AI201" s="88" t="str">
        <f t="shared" ref="AI201:AI214" si="283">O201</f>
        <v>Chronic</v>
      </c>
      <c r="AJ201" s="9">
        <f t="shared" ref="AJ201:AJ214" si="284">VLOOKUP(AI201,$BD$19:$BF$20,2,FALSE)</f>
        <v>1</v>
      </c>
      <c r="AK201" s="18">
        <f t="shared" ref="AK201:AK214" si="285">AH201/AJ201</f>
        <v>0.94278417880836518</v>
      </c>
      <c r="AL201" s="16"/>
      <c r="AM201" s="127" t="str">
        <f t="shared" ref="AM201:AM214" si="286">L201</f>
        <v>NOEC</v>
      </c>
      <c r="AN201" s="128" t="s">
        <v>356</v>
      </c>
      <c r="AO201" s="129" t="str">
        <f t="shared" ref="AO201:AO214" si="287">O201</f>
        <v>Chronic</v>
      </c>
      <c r="AP201" s="128" t="str">
        <f>IF(AO201="chronic","y","n")</f>
        <v>y</v>
      </c>
      <c r="AQ201" s="130" t="str">
        <f t="shared" ref="AQ201:AQ214" si="288">K201</f>
        <v>Mortality</v>
      </c>
      <c r="AR201" s="128" t="s">
        <v>459</v>
      </c>
      <c r="AS201" s="131">
        <f t="shared" ref="AS201:AS214" si="289">M201</f>
        <v>30</v>
      </c>
      <c r="AT201" s="128" t="s">
        <v>460</v>
      </c>
      <c r="AU201" s="128"/>
      <c r="AV201" s="189">
        <f t="shared" ref="AV201:AV207" si="290">AK201</f>
        <v>0.94278417880836518</v>
      </c>
      <c r="AW201" s="190">
        <f>GEOMEAN(AV201)</f>
        <v>0.94278417880836518</v>
      </c>
      <c r="AX201" s="191">
        <f>MIN(AW201)</f>
        <v>0.94278417880836518</v>
      </c>
      <c r="AY201" s="192">
        <f>MIN(AX201)</f>
        <v>0.94278417880836518</v>
      </c>
      <c r="AZ201" s="206" t="str">
        <f>A200</f>
        <v>24°C</v>
      </c>
    </row>
    <row r="202" spans="1:52" x14ac:dyDescent="0.2">
      <c r="A202" s="19" t="s">
        <v>59</v>
      </c>
      <c r="B202" s="9">
        <v>245</v>
      </c>
      <c r="C202" s="10" t="s">
        <v>24</v>
      </c>
      <c r="D202" s="11" t="s">
        <v>60</v>
      </c>
      <c r="E202" s="20" t="s">
        <v>61</v>
      </c>
      <c r="F202" s="9" t="s">
        <v>62</v>
      </c>
      <c r="G202" s="9" t="s">
        <v>52</v>
      </c>
      <c r="H202" s="9" t="s">
        <v>571</v>
      </c>
      <c r="I202" s="12" t="s">
        <v>63</v>
      </c>
      <c r="J202" s="12" t="s">
        <v>64</v>
      </c>
      <c r="K202" s="12" t="s">
        <v>64</v>
      </c>
      <c r="L202" s="12" t="s">
        <v>54</v>
      </c>
      <c r="M202" s="12">
        <v>7</v>
      </c>
      <c r="N202" s="9" t="s">
        <v>55</v>
      </c>
      <c r="O202" s="21" t="s">
        <v>33</v>
      </c>
      <c r="P202" s="14" t="s">
        <v>65</v>
      </c>
      <c r="Q202" s="9">
        <v>25</v>
      </c>
      <c r="R202" s="9">
        <v>25</v>
      </c>
      <c r="S202" s="22">
        <v>8</v>
      </c>
      <c r="T202" s="22">
        <v>8</v>
      </c>
      <c r="U202" s="20">
        <v>5.3659999999999997</v>
      </c>
      <c r="V202" s="20" t="s">
        <v>37</v>
      </c>
      <c r="W202" s="20">
        <v>680</v>
      </c>
      <c r="X202" s="9">
        <v>680</v>
      </c>
      <c r="Y202" s="27">
        <f t="shared" si="276"/>
        <v>12.672381662318301</v>
      </c>
      <c r="Z202" s="15">
        <f t="shared" si="277"/>
        <v>30.774279778328605</v>
      </c>
      <c r="AA202" s="15">
        <f t="shared" ref="AA202:AA214" si="291">POWER(10,LOG(Z202)-(-0.028*(R202-AE202)))</f>
        <v>32.823727445220058</v>
      </c>
      <c r="AC202" s="16">
        <f t="shared" si="278"/>
        <v>0.48752849010338595</v>
      </c>
      <c r="AD202" s="26">
        <f t="shared" si="279"/>
        <v>2.051162178825567</v>
      </c>
      <c r="AE202" s="51">
        <v>24</v>
      </c>
      <c r="AF202" s="85" t="str">
        <f t="shared" si="280"/>
        <v>NOEC</v>
      </c>
      <c r="AG202" s="9">
        <f t="shared" si="281"/>
        <v>1</v>
      </c>
      <c r="AH202" s="18">
        <f t="shared" si="282"/>
        <v>32.823727445220058</v>
      </c>
      <c r="AI202" s="88" t="str">
        <f t="shared" si="283"/>
        <v>Chronic</v>
      </c>
      <c r="AJ202" s="9">
        <f t="shared" si="284"/>
        <v>1</v>
      </c>
      <c r="AK202" s="18">
        <f t="shared" si="285"/>
        <v>32.823727445220058</v>
      </c>
      <c r="AL202" s="16"/>
      <c r="AM202" s="101" t="str">
        <f t="shared" si="286"/>
        <v>NOEC</v>
      </c>
      <c r="AN202" s="102" t="s">
        <v>356</v>
      </c>
      <c r="AO202" s="103" t="str">
        <f t="shared" si="287"/>
        <v>Chronic</v>
      </c>
      <c r="AP202" s="102" t="str">
        <f t="shared" ref="AP202:AP214" si="292">IF(AO202="chronic","y","n")</f>
        <v>y</v>
      </c>
      <c r="AQ202" s="104" t="str">
        <f t="shared" si="288"/>
        <v>Reproduction</v>
      </c>
      <c r="AR202" s="102" t="s">
        <v>459</v>
      </c>
      <c r="AS202" s="105">
        <f t="shared" si="289"/>
        <v>7</v>
      </c>
      <c r="AT202" s="102" t="s">
        <v>460</v>
      </c>
      <c r="AU202" s="102"/>
      <c r="AV202" s="106">
        <f t="shared" si="290"/>
        <v>32.823727445220058</v>
      </c>
      <c r="AW202" s="107">
        <f>GEOMEAN(AV202:AV202)</f>
        <v>32.823727445220058</v>
      </c>
      <c r="AX202" s="108">
        <f>MIN(AW202:AW202)</f>
        <v>32.823727445220058</v>
      </c>
      <c r="AY202" s="109">
        <f>MIN(AX202)</f>
        <v>32.823727445220058</v>
      </c>
    </row>
    <row r="203" spans="1:52" x14ac:dyDescent="0.2">
      <c r="A203" s="32" t="s">
        <v>82</v>
      </c>
      <c r="B203" s="33">
        <v>240</v>
      </c>
      <c r="C203" s="34" t="s">
        <v>24</v>
      </c>
      <c r="D203" s="35" t="s">
        <v>77</v>
      </c>
      <c r="E203" s="33" t="s">
        <v>61</v>
      </c>
      <c r="F203" s="33" t="s">
        <v>62</v>
      </c>
      <c r="G203" s="33" t="s">
        <v>52</v>
      </c>
      <c r="H203" s="33" t="s">
        <v>571</v>
      </c>
      <c r="I203" s="36" t="s">
        <v>78</v>
      </c>
      <c r="J203" s="36" t="s">
        <v>83</v>
      </c>
      <c r="K203" s="36" t="s">
        <v>84</v>
      </c>
      <c r="L203" s="36" t="s">
        <v>54</v>
      </c>
      <c r="M203" s="36">
        <v>21</v>
      </c>
      <c r="N203" s="33" t="s">
        <v>55</v>
      </c>
      <c r="O203" s="37" t="s">
        <v>33</v>
      </c>
      <c r="P203" s="38" t="s">
        <v>79</v>
      </c>
      <c r="Q203" s="33" t="s">
        <v>80</v>
      </c>
      <c r="R203" s="40">
        <v>19.8</v>
      </c>
      <c r="S203" s="33" t="s">
        <v>81</v>
      </c>
      <c r="T203" s="33">
        <v>8.4499999999999993</v>
      </c>
      <c r="U203" s="33">
        <v>9.9039999999999999</v>
      </c>
      <c r="V203" s="44" t="s">
        <v>37</v>
      </c>
      <c r="W203" s="44" t="s">
        <v>37</v>
      </c>
      <c r="X203" s="33">
        <v>420</v>
      </c>
      <c r="Y203" s="40">
        <f t="shared" si="276"/>
        <v>4.2407108239095308</v>
      </c>
      <c r="Z203" s="40">
        <f t="shared" si="277"/>
        <v>21.142464693435951</v>
      </c>
      <c r="AA203" s="40">
        <f t="shared" si="291"/>
        <v>16.127075310122738</v>
      </c>
      <c r="AC203" s="16">
        <f t="shared" si="278"/>
        <v>0.17298163592151028</v>
      </c>
      <c r="AD203" s="26">
        <f t="shared" si="279"/>
        <v>5.7809604740571769</v>
      </c>
      <c r="AE203" s="51">
        <v>24</v>
      </c>
      <c r="AF203" s="85" t="str">
        <f t="shared" si="280"/>
        <v>NOEC</v>
      </c>
      <c r="AG203" s="9">
        <f t="shared" si="281"/>
        <v>1</v>
      </c>
      <c r="AH203" s="18">
        <f t="shared" si="282"/>
        <v>16.127075310122738</v>
      </c>
      <c r="AI203" s="88" t="str">
        <f t="shared" si="283"/>
        <v>Chronic</v>
      </c>
      <c r="AJ203" s="9">
        <f t="shared" si="284"/>
        <v>1</v>
      </c>
      <c r="AK203" s="18">
        <f t="shared" si="285"/>
        <v>16.127075310122738</v>
      </c>
      <c r="AL203" s="16"/>
      <c r="AM203" s="101" t="str">
        <f t="shared" si="286"/>
        <v>NOEC</v>
      </c>
      <c r="AN203" s="102" t="s">
        <v>356</v>
      </c>
      <c r="AO203" s="103" t="str">
        <f t="shared" si="287"/>
        <v>Chronic</v>
      </c>
      <c r="AP203" s="102" t="str">
        <f t="shared" si="292"/>
        <v>y</v>
      </c>
      <c r="AQ203" s="104" t="str">
        <f t="shared" si="288"/>
        <v>Mean total young/daphnid</v>
      </c>
      <c r="AR203" s="102" t="s">
        <v>459</v>
      </c>
      <c r="AS203" s="105">
        <f t="shared" si="289"/>
        <v>21</v>
      </c>
      <c r="AT203" s="102" t="s">
        <v>460</v>
      </c>
      <c r="AU203" s="102"/>
      <c r="AV203" s="147">
        <f t="shared" si="290"/>
        <v>16.127075310122738</v>
      </c>
      <c r="AW203" s="107">
        <f>GEOMEAN(AV203:AV203)</f>
        <v>16.127075310122738</v>
      </c>
      <c r="AX203" s="108">
        <f>MIN(AW203)</f>
        <v>16.127075310122738</v>
      </c>
      <c r="AY203" s="109"/>
    </row>
    <row r="204" spans="1:52" x14ac:dyDescent="0.2">
      <c r="A204" s="32" t="s">
        <v>87</v>
      </c>
      <c r="B204" s="33">
        <v>240</v>
      </c>
      <c r="C204" s="34" t="s">
        <v>24</v>
      </c>
      <c r="D204" s="35" t="s">
        <v>77</v>
      </c>
      <c r="E204" s="33" t="s">
        <v>61</v>
      </c>
      <c r="F204" s="33" t="s">
        <v>62</v>
      </c>
      <c r="G204" s="33" t="s">
        <v>52</v>
      </c>
      <c r="H204" s="33" t="s">
        <v>571</v>
      </c>
      <c r="I204" s="36" t="s">
        <v>78</v>
      </c>
      <c r="J204" s="36" t="s">
        <v>83</v>
      </c>
      <c r="K204" s="36" t="s">
        <v>88</v>
      </c>
      <c r="L204" s="36" t="s">
        <v>54</v>
      </c>
      <c r="M204" s="36">
        <v>21</v>
      </c>
      <c r="N204" s="33" t="s">
        <v>55</v>
      </c>
      <c r="O204" s="37" t="s">
        <v>33</v>
      </c>
      <c r="P204" s="38" t="s">
        <v>79</v>
      </c>
      <c r="Q204" s="33" t="s">
        <v>80</v>
      </c>
      <c r="R204" s="40">
        <v>19.8</v>
      </c>
      <c r="S204" s="33" t="s">
        <v>81</v>
      </c>
      <c r="T204" s="33">
        <v>8.4499999999999993</v>
      </c>
      <c r="U204" s="33">
        <v>9.9039999999999999</v>
      </c>
      <c r="V204" s="44" t="s">
        <v>37</v>
      </c>
      <c r="W204" s="44" t="s">
        <v>37</v>
      </c>
      <c r="X204" s="33">
        <v>420</v>
      </c>
      <c r="Y204" s="40">
        <f t="shared" si="276"/>
        <v>4.2407108239095308</v>
      </c>
      <c r="Z204" s="40">
        <f t="shared" si="277"/>
        <v>21.142464693435951</v>
      </c>
      <c r="AA204" s="40">
        <f t="shared" si="291"/>
        <v>16.127075310122738</v>
      </c>
      <c r="AC204" s="16">
        <f t="shared" si="278"/>
        <v>0.17298163592151028</v>
      </c>
      <c r="AD204" s="26">
        <f t="shared" si="279"/>
        <v>5.7809604740571769</v>
      </c>
      <c r="AE204" s="51">
        <v>24</v>
      </c>
      <c r="AF204" s="85" t="str">
        <f t="shared" si="280"/>
        <v>NOEC</v>
      </c>
      <c r="AG204" s="9">
        <f t="shared" si="281"/>
        <v>1</v>
      </c>
      <c r="AH204" s="18">
        <f t="shared" si="282"/>
        <v>16.127075310122738</v>
      </c>
      <c r="AI204" s="88" t="str">
        <f t="shared" si="283"/>
        <v>Chronic</v>
      </c>
      <c r="AJ204" s="9">
        <f t="shared" si="284"/>
        <v>1</v>
      </c>
      <c r="AK204" s="18">
        <f t="shared" si="285"/>
        <v>16.127075310122738</v>
      </c>
      <c r="AL204" s="16"/>
      <c r="AM204" s="132" t="str">
        <f t="shared" si="286"/>
        <v>NOEC</v>
      </c>
      <c r="AN204" s="67" t="s">
        <v>356</v>
      </c>
      <c r="AO204" s="88" t="str">
        <f t="shared" si="287"/>
        <v>Chronic</v>
      </c>
      <c r="AP204" s="67" t="str">
        <f t="shared" si="292"/>
        <v>y</v>
      </c>
      <c r="AQ204" s="69" t="str">
        <f t="shared" si="288"/>
        <v>Mean brood size/daphnid</v>
      </c>
      <c r="AR204" s="67" t="s">
        <v>475</v>
      </c>
      <c r="AS204" s="70">
        <f t="shared" si="289"/>
        <v>21</v>
      </c>
      <c r="AT204" s="67" t="s">
        <v>476</v>
      </c>
      <c r="AU204" s="67"/>
      <c r="AV204" s="82">
        <f t="shared" si="290"/>
        <v>16.127075310122738</v>
      </c>
      <c r="AW204" s="81">
        <f>GEOMEAN(AV204:AV204)</f>
        <v>16.127075310122738</v>
      </c>
      <c r="AX204" s="78">
        <f>MIN(AW204)</f>
        <v>16.127075310122738</v>
      </c>
      <c r="AY204" s="133"/>
    </row>
    <row r="205" spans="1:52" x14ac:dyDescent="0.2">
      <c r="A205" s="32" t="s">
        <v>89</v>
      </c>
      <c r="B205" s="33">
        <v>240</v>
      </c>
      <c r="C205" s="34" t="s">
        <v>24</v>
      </c>
      <c r="D205" s="35" t="s">
        <v>77</v>
      </c>
      <c r="E205" s="33" t="s">
        <v>61</v>
      </c>
      <c r="F205" s="33" t="s">
        <v>62</v>
      </c>
      <c r="G205" s="33" t="s">
        <v>52</v>
      </c>
      <c r="H205" s="33" t="s">
        <v>571</v>
      </c>
      <c r="I205" s="36" t="s">
        <v>78</v>
      </c>
      <c r="J205" s="36" t="s">
        <v>53</v>
      </c>
      <c r="K205" s="36" t="s">
        <v>53</v>
      </c>
      <c r="L205" s="36" t="s">
        <v>54</v>
      </c>
      <c r="M205" s="36">
        <v>21</v>
      </c>
      <c r="N205" s="33" t="s">
        <v>55</v>
      </c>
      <c r="O205" s="37" t="s">
        <v>33</v>
      </c>
      <c r="P205" s="38" t="s">
        <v>79</v>
      </c>
      <c r="Q205" s="33" t="s">
        <v>80</v>
      </c>
      <c r="R205" s="40">
        <v>19.8</v>
      </c>
      <c r="S205" s="33" t="s">
        <v>81</v>
      </c>
      <c r="T205" s="33">
        <v>8.4499999999999993</v>
      </c>
      <c r="U205" s="33">
        <v>9.9039999999999999</v>
      </c>
      <c r="V205" s="44" t="s">
        <v>37</v>
      </c>
      <c r="W205" s="44" t="s">
        <v>37</v>
      </c>
      <c r="X205" s="33">
        <v>420</v>
      </c>
      <c r="Y205" s="40">
        <f t="shared" si="276"/>
        <v>4.2407108239095308</v>
      </c>
      <c r="Z205" s="40">
        <f t="shared" si="277"/>
        <v>21.142464693435951</v>
      </c>
      <c r="AA205" s="40">
        <f t="shared" si="291"/>
        <v>16.127075310122738</v>
      </c>
      <c r="AC205" s="16">
        <f t="shared" si="278"/>
        <v>0.17298163592151028</v>
      </c>
      <c r="AD205" s="26">
        <f t="shared" si="279"/>
        <v>5.7809604740571769</v>
      </c>
      <c r="AE205" s="51">
        <v>24</v>
      </c>
      <c r="AF205" s="85" t="str">
        <f t="shared" si="280"/>
        <v>NOEC</v>
      </c>
      <c r="AG205" s="9">
        <f t="shared" si="281"/>
        <v>1</v>
      </c>
      <c r="AH205" s="18">
        <f t="shared" si="282"/>
        <v>16.127075310122738</v>
      </c>
      <c r="AI205" s="88" t="str">
        <f t="shared" si="283"/>
        <v>Chronic</v>
      </c>
      <c r="AJ205" s="9">
        <f t="shared" si="284"/>
        <v>1</v>
      </c>
      <c r="AK205" s="18">
        <f t="shared" si="285"/>
        <v>16.127075310122738</v>
      </c>
      <c r="AL205" s="16"/>
      <c r="AM205" s="110" t="str">
        <f t="shared" si="286"/>
        <v>NOEC</v>
      </c>
      <c r="AN205" s="111" t="s">
        <v>356</v>
      </c>
      <c r="AO205" s="112" t="str">
        <f t="shared" si="287"/>
        <v>Chronic</v>
      </c>
      <c r="AP205" s="111" t="str">
        <f t="shared" si="292"/>
        <v>y</v>
      </c>
      <c r="AQ205" s="134" t="str">
        <f t="shared" si="288"/>
        <v>Mortality</v>
      </c>
      <c r="AR205" s="111" t="s">
        <v>55</v>
      </c>
      <c r="AS205" s="114">
        <f t="shared" si="289"/>
        <v>21</v>
      </c>
      <c r="AT205" s="111" t="s">
        <v>477</v>
      </c>
      <c r="AU205" s="111"/>
      <c r="AV205" s="138">
        <f t="shared" si="290"/>
        <v>16.127075310122738</v>
      </c>
      <c r="AW205" s="135">
        <f>GEOMEAN(AV205:AV205)</f>
        <v>16.127075310122738</v>
      </c>
      <c r="AX205" s="136">
        <f>MIN(AW205)</f>
        <v>16.127075310122738</v>
      </c>
      <c r="AY205" s="137">
        <f>MIN(AX203:AX205)</f>
        <v>16.127075310122738</v>
      </c>
    </row>
    <row r="206" spans="1:52" x14ac:dyDescent="0.2">
      <c r="A206" s="19" t="s">
        <v>90</v>
      </c>
      <c r="B206" s="23">
        <v>231</v>
      </c>
      <c r="C206" s="10" t="s">
        <v>24</v>
      </c>
      <c r="D206" s="11" t="s">
        <v>91</v>
      </c>
      <c r="E206" s="9" t="s">
        <v>61</v>
      </c>
      <c r="F206" s="9" t="s">
        <v>92</v>
      </c>
      <c r="G206" s="9" t="s">
        <v>93</v>
      </c>
      <c r="H206" s="9" t="s">
        <v>571</v>
      </c>
      <c r="I206" s="9" t="s">
        <v>94</v>
      </c>
      <c r="J206" s="12" t="s">
        <v>53</v>
      </c>
      <c r="K206" s="12" t="s">
        <v>95</v>
      </c>
      <c r="L206" s="12" t="s">
        <v>54</v>
      </c>
      <c r="M206" s="9">
        <v>29</v>
      </c>
      <c r="N206" s="9" t="s">
        <v>55</v>
      </c>
      <c r="O206" s="9" t="s">
        <v>33</v>
      </c>
      <c r="P206" s="14" t="s">
        <v>96</v>
      </c>
      <c r="Q206" s="23">
        <v>15.8</v>
      </c>
      <c r="R206" s="94">
        <v>15.8</v>
      </c>
      <c r="S206" s="9">
        <v>8.3699999999999992</v>
      </c>
      <c r="T206" s="9">
        <v>8.3699999999999992</v>
      </c>
      <c r="U206" s="9">
        <v>6.3609999999999998</v>
      </c>
      <c r="V206" s="9">
        <v>0.94899999999999995</v>
      </c>
      <c r="W206" s="9">
        <v>66</v>
      </c>
      <c r="X206" s="9">
        <v>66</v>
      </c>
      <c r="Y206" s="9">
        <v>0.94899999999999995</v>
      </c>
      <c r="Z206" s="15">
        <f t="shared" si="277"/>
        <v>4.1349303568432507</v>
      </c>
      <c r="AA206" s="15">
        <f t="shared" si="291"/>
        <v>2.437071098025791</v>
      </c>
      <c r="AC206" s="16">
        <f t="shared" si="278"/>
        <v>0.20796966871036979</v>
      </c>
      <c r="AD206" s="26">
        <f t="shared" si="279"/>
        <v>4.8083934844972802</v>
      </c>
      <c r="AE206" s="51">
        <v>24</v>
      </c>
      <c r="AF206" s="85" t="str">
        <f t="shared" si="280"/>
        <v>NOEC</v>
      </c>
      <c r="AG206" s="9">
        <f t="shared" si="281"/>
        <v>1</v>
      </c>
      <c r="AH206" s="18">
        <f t="shared" si="282"/>
        <v>2.437071098025791</v>
      </c>
      <c r="AI206" s="88" t="str">
        <f t="shared" si="283"/>
        <v>Chronic</v>
      </c>
      <c r="AJ206" s="9">
        <f t="shared" si="284"/>
        <v>1</v>
      </c>
      <c r="AK206" s="18">
        <f t="shared" si="285"/>
        <v>2.437071098025791</v>
      </c>
      <c r="AL206" s="16"/>
      <c r="AM206" s="127" t="str">
        <f t="shared" si="286"/>
        <v>NOEC</v>
      </c>
      <c r="AN206" s="128" t="s">
        <v>356</v>
      </c>
      <c r="AO206" s="129" t="str">
        <f t="shared" si="287"/>
        <v>Chronic</v>
      </c>
      <c r="AP206" s="128" t="str">
        <f t="shared" si="292"/>
        <v>y</v>
      </c>
      <c r="AQ206" s="130" t="str">
        <f t="shared" si="288"/>
        <v>Mortality (of juvenile Deleatidium sp.)</v>
      </c>
      <c r="AR206" s="128" t="s">
        <v>459</v>
      </c>
      <c r="AS206" s="131">
        <f t="shared" si="289"/>
        <v>29</v>
      </c>
      <c r="AT206" s="128" t="s">
        <v>460</v>
      </c>
      <c r="AU206" s="128"/>
      <c r="AV206" s="143">
        <f t="shared" si="290"/>
        <v>2.437071098025791</v>
      </c>
      <c r="AW206" s="144">
        <f t="shared" ref="AW206:AW207" si="293">GEOMEAN(AV206:AV206)</f>
        <v>2.437071098025791</v>
      </c>
      <c r="AX206" s="141">
        <f>MIN(AW206)</f>
        <v>2.437071098025791</v>
      </c>
      <c r="AY206" s="142">
        <f>MIN(AX206:AX206)</f>
        <v>2.437071098025791</v>
      </c>
    </row>
    <row r="207" spans="1:52" x14ac:dyDescent="0.2">
      <c r="A207" s="32" t="s">
        <v>97</v>
      </c>
      <c r="B207" s="44">
        <v>221</v>
      </c>
      <c r="C207" s="34" t="s">
        <v>24</v>
      </c>
      <c r="D207" s="35" t="s">
        <v>98</v>
      </c>
      <c r="E207" s="33" t="s">
        <v>61</v>
      </c>
      <c r="F207" s="33" t="s">
        <v>99</v>
      </c>
      <c r="G207" s="33" t="s">
        <v>93</v>
      </c>
      <c r="H207" s="33" t="s">
        <v>571</v>
      </c>
      <c r="I207" s="36" t="s">
        <v>100</v>
      </c>
      <c r="J207" s="36" t="s">
        <v>64</v>
      </c>
      <c r="K207" s="44" t="s">
        <v>101</v>
      </c>
      <c r="L207" s="36" t="s">
        <v>54</v>
      </c>
      <c r="M207" s="36">
        <v>10</v>
      </c>
      <c r="N207" s="33" t="s">
        <v>102</v>
      </c>
      <c r="O207" s="33" t="s">
        <v>33</v>
      </c>
      <c r="P207" s="45" t="s">
        <v>103</v>
      </c>
      <c r="Q207" s="44">
        <v>25</v>
      </c>
      <c r="R207" s="44">
        <v>25</v>
      </c>
      <c r="S207" s="33" t="s">
        <v>104</v>
      </c>
      <c r="T207" s="33">
        <v>8.0399999999999991</v>
      </c>
      <c r="U207" s="46">
        <v>5.8536524151080886</v>
      </c>
      <c r="V207" s="33">
        <v>2.5</v>
      </c>
      <c r="W207" s="33" t="s">
        <v>37</v>
      </c>
      <c r="X207" s="39">
        <f t="shared" ref="X207" si="294">(V207)*(U207/100)*1000</f>
        <v>146.3413103777022</v>
      </c>
      <c r="Y207" s="33">
        <v>2.5</v>
      </c>
      <c r="Z207" s="40">
        <f t="shared" si="277"/>
        <v>6.4367096033276967</v>
      </c>
      <c r="AA207" s="40">
        <f t="shared" si="291"/>
        <v>6.8653694963948748</v>
      </c>
      <c r="AC207" s="16">
        <f t="shared" si="278"/>
        <v>0.4446312674691093</v>
      </c>
      <c r="AD207" s="26">
        <f t="shared" si="279"/>
        <v>2.2490546058357781</v>
      </c>
      <c r="AE207" s="51">
        <v>24</v>
      </c>
      <c r="AF207" s="85" t="str">
        <f t="shared" si="280"/>
        <v>NOEC</v>
      </c>
      <c r="AG207" s="9">
        <f t="shared" si="281"/>
        <v>1</v>
      </c>
      <c r="AH207" s="18">
        <f t="shared" si="282"/>
        <v>6.8653694963948748</v>
      </c>
      <c r="AI207" s="88" t="str">
        <f t="shared" si="283"/>
        <v>Chronic</v>
      </c>
      <c r="AJ207" s="9">
        <f t="shared" si="284"/>
        <v>1</v>
      </c>
      <c r="AK207" s="18">
        <f t="shared" si="285"/>
        <v>6.8653694963948748</v>
      </c>
      <c r="AL207" s="16"/>
      <c r="AM207" s="101" t="str">
        <f t="shared" si="286"/>
        <v>NOEC</v>
      </c>
      <c r="AN207" s="102" t="s">
        <v>356</v>
      </c>
      <c r="AO207" s="103" t="str">
        <f t="shared" si="287"/>
        <v>Chronic</v>
      </c>
      <c r="AP207" s="102" t="str">
        <f t="shared" si="292"/>
        <v>y</v>
      </c>
      <c r="AQ207" s="104" t="str">
        <f t="shared" si="288"/>
        <v>Reproduction (average young per replicate)</v>
      </c>
      <c r="AR207" s="102" t="s">
        <v>459</v>
      </c>
      <c r="AS207" s="105">
        <f t="shared" si="289"/>
        <v>10</v>
      </c>
      <c r="AT207" s="102" t="s">
        <v>460</v>
      </c>
      <c r="AU207" s="102"/>
      <c r="AV207" s="147">
        <f t="shared" si="290"/>
        <v>6.8653694963948748</v>
      </c>
      <c r="AW207" s="118">
        <f t="shared" si="293"/>
        <v>6.8653694963948748</v>
      </c>
      <c r="AX207" s="73">
        <f>MIN(AW207:AW207)</f>
        <v>6.8653694963948748</v>
      </c>
      <c r="AY207" s="126">
        <f>MIN(AX207:AX207)</f>
        <v>6.8653694963948748</v>
      </c>
    </row>
    <row r="208" spans="1:52" x14ac:dyDescent="0.2">
      <c r="A208" s="19" t="s">
        <v>119</v>
      </c>
      <c r="B208" s="9">
        <v>235</v>
      </c>
      <c r="C208" s="10" t="s">
        <v>24</v>
      </c>
      <c r="D208" s="11" t="s">
        <v>120</v>
      </c>
      <c r="E208" s="9" t="s">
        <v>121</v>
      </c>
      <c r="F208" s="9" t="s">
        <v>122</v>
      </c>
      <c r="G208" s="9" t="s">
        <v>52</v>
      </c>
      <c r="H208" s="9" t="s">
        <v>571</v>
      </c>
      <c r="I208" s="12" t="s">
        <v>37</v>
      </c>
      <c r="J208" s="12" t="s">
        <v>123</v>
      </c>
      <c r="K208" s="12" t="s">
        <v>123</v>
      </c>
      <c r="L208" s="12" t="s">
        <v>54</v>
      </c>
      <c r="M208" s="12">
        <v>40</v>
      </c>
      <c r="N208" s="9" t="s">
        <v>55</v>
      </c>
      <c r="O208" s="13" t="s">
        <v>33</v>
      </c>
      <c r="P208" s="14" t="s">
        <v>56</v>
      </c>
      <c r="Q208" s="9" t="s">
        <v>438</v>
      </c>
      <c r="R208" s="9">
        <v>15.3</v>
      </c>
      <c r="S208" s="9" t="s">
        <v>124</v>
      </c>
      <c r="T208" s="9">
        <v>8.1</v>
      </c>
      <c r="U208" s="9">
        <v>3.3940000000000001</v>
      </c>
      <c r="V208" s="18">
        <v>2.1</v>
      </c>
      <c r="W208" s="9">
        <v>70</v>
      </c>
      <c r="X208" s="9">
        <v>70</v>
      </c>
      <c r="Y208" s="18">
        <v>2.1</v>
      </c>
      <c r="Z208" s="15">
        <f t="shared" si="277"/>
        <v>5.9178920071141139</v>
      </c>
      <c r="AA208" s="15">
        <f t="shared" si="291"/>
        <v>3.3772797472328482</v>
      </c>
      <c r="AC208" s="16">
        <f t="shared" si="278"/>
        <v>0.38725764492161724</v>
      </c>
      <c r="AD208" s="26">
        <f t="shared" si="279"/>
        <v>2.5822601906345959</v>
      </c>
      <c r="AE208" s="51">
        <v>24</v>
      </c>
      <c r="AF208" s="85" t="str">
        <f t="shared" si="280"/>
        <v>NOEC</v>
      </c>
      <c r="AG208" s="9">
        <f t="shared" si="281"/>
        <v>1</v>
      </c>
      <c r="AH208" s="18">
        <f t="shared" si="282"/>
        <v>3.3772797472328482</v>
      </c>
      <c r="AI208" s="88" t="str">
        <f t="shared" si="283"/>
        <v>Chronic</v>
      </c>
      <c r="AJ208" s="9">
        <f t="shared" si="284"/>
        <v>1</v>
      </c>
      <c r="AK208" s="18">
        <f t="shared" si="285"/>
        <v>3.3772797472328482</v>
      </c>
      <c r="AL208" s="16"/>
      <c r="AM208" s="127" t="str">
        <f t="shared" si="286"/>
        <v>NOEC</v>
      </c>
      <c r="AN208" s="128" t="s">
        <v>356</v>
      </c>
      <c r="AO208" s="129" t="str">
        <f t="shared" si="287"/>
        <v>Chronic</v>
      </c>
      <c r="AP208" s="128" t="str">
        <f t="shared" si="292"/>
        <v>y</v>
      </c>
      <c r="AQ208" s="130" t="str">
        <f t="shared" si="288"/>
        <v>Immobility</v>
      </c>
      <c r="AR208" s="128" t="s">
        <v>459</v>
      </c>
      <c r="AS208" s="131">
        <f t="shared" si="289"/>
        <v>40</v>
      </c>
      <c r="AT208" s="128" t="s">
        <v>460</v>
      </c>
      <c r="AU208" s="128"/>
      <c r="AV208" s="143">
        <f>AK208</f>
        <v>3.3772797472328482</v>
      </c>
      <c r="AW208" s="144">
        <f>GEOMEAN(AV208:AV208)</f>
        <v>3.3772797472328482</v>
      </c>
      <c r="AX208" s="148">
        <f>MIN(AW208)</f>
        <v>3.3772797472328482</v>
      </c>
      <c r="AY208" s="149">
        <f>MIN(AX208)</f>
        <v>3.3772797472328482</v>
      </c>
    </row>
    <row r="209" spans="1:52" x14ac:dyDescent="0.2">
      <c r="A209" s="32" t="s">
        <v>132</v>
      </c>
      <c r="B209" s="33">
        <v>254</v>
      </c>
      <c r="C209" s="34" t="s">
        <v>24</v>
      </c>
      <c r="D209" s="35" t="s">
        <v>126</v>
      </c>
      <c r="E209" s="33" t="s">
        <v>121</v>
      </c>
      <c r="F209" s="33" t="s">
        <v>127</v>
      </c>
      <c r="G209" s="33" t="s">
        <v>52</v>
      </c>
      <c r="H209" s="33" t="s">
        <v>571</v>
      </c>
      <c r="I209" s="36" t="s">
        <v>128</v>
      </c>
      <c r="J209" s="36" t="s">
        <v>53</v>
      </c>
      <c r="K209" s="36" t="s">
        <v>53</v>
      </c>
      <c r="L209" s="36" t="s">
        <v>133</v>
      </c>
      <c r="M209" s="36">
        <v>28</v>
      </c>
      <c r="N209" s="33" t="s">
        <v>55</v>
      </c>
      <c r="O209" s="37" t="s">
        <v>33</v>
      </c>
      <c r="P209" s="38" t="s">
        <v>129</v>
      </c>
      <c r="Q209" s="33" t="s">
        <v>130</v>
      </c>
      <c r="R209" s="33">
        <v>20</v>
      </c>
      <c r="S209" s="33" t="s">
        <v>131</v>
      </c>
      <c r="T209" s="33">
        <v>8.1999999999999993</v>
      </c>
      <c r="U209" s="33">
        <v>5.9020000000000001</v>
      </c>
      <c r="V209" s="33" t="s">
        <v>134</v>
      </c>
      <c r="W209" s="33" t="s">
        <v>37</v>
      </c>
      <c r="X209" s="33">
        <v>7.67</v>
      </c>
      <c r="Y209" s="33">
        <v>0.13</v>
      </c>
      <c r="Z209" s="40">
        <f t="shared" si="277"/>
        <v>0.4284575216169903</v>
      </c>
      <c r="AA209" s="40">
        <f t="shared" si="291"/>
        <v>0.33106080849167052</v>
      </c>
      <c r="AB209" t="s">
        <v>577</v>
      </c>
      <c r="AC209" s="16">
        <f t="shared" si="278"/>
        <v>0.30760968147407108</v>
      </c>
      <c r="AD209" s="26">
        <f t="shared" si="279"/>
        <v>3.2508729738543409</v>
      </c>
      <c r="AE209" s="51">
        <v>24</v>
      </c>
      <c r="AF209" s="85" t="str">
        <f t="shared" si="280"/>
        <v>IC10</v>
      </c>
      <c r="AG209" s="9">
        <f t="shared" si="281"/>
        <v>1</v>
      </c>
      <c r="AH209" s="18">
        <f t="shared" si="282"/>
        <v>0.33106080849167052</v>
      </c>
      <c r="AI209" s="88" t="str">
        <f t="shared" si="283"/>
        <v>Chronic</v>
      </c>
      <c r="AJ209" s="9">
        <f t="shared" si="284"/>
        <v>1</v>
      </c>
      <c r="AK209" s="18">
        <f t="shared" si="285"/>
        <v>0.33106080849167052</v>
      </c>
      <c r="AL209" s="16"/>
      <c r="AM209" s="132" t="str">
        <f t="shared" si="286"/>
        <v>IC10</v>
      </c>
      <c r="AN209" s="67" t="s">
        <v>356</v>
      </c>
      <c r="AO209" s="88" t="str">
        <f t="shared" si="287"/>
        <v>Chronic</v>
      </c>
      <c r="AP209" s="67" t="str">
        <f t="shared" si="292"/>
        <v>y</v>
      </c>
      <c r="AQ209" s="69" t="str">
        <f t="shared" si="288"/>
        <v>Mortality</v>
      </c>
      <c r="AR209" s="67" t="s">
        <v>459</v>
      </c>
      <c r="AS209" s="70">
        <f t="shared" si="289"/>
        <v>28</v>
      </c>
      <c r="AT209" s="67" t="s">
        <v>460</v>
      </c>
      <c r="AU209" s="67"/>
      <c r="AV209" s="151">
        <f>AK209</f>
        <v>0.33106080849167052</v>
      </c>
      <c r="AW209" s="95">
        <f>GEOMEAN(AV209:AV209)</f>
        <v>0.33106080849167052</v>
      </c>
      <c r="AX209" s="96">
        <f>MIN(AW209)</f>
        <v>0.33106080849167052</v>
      </c>
      <c r="AY209" s="153">
        <f>MIN(AX209)</f>
        <v>0.33106080849167052</v>
      </c>
    </row>
    <row r="210" spans="1:52" x14ac:dyDescent="0.2">
      <c r="A210" s="19" t="s">
        <v>144</v>
      </c>
      <c r="B210" s="9">
        <v>253</v>
      </c>
      <c r="C210" s="10" t="s">
        <v>24</v>
      </c>
      <c r="D210" s="11" t="s">
        <v>139</v>
      </c>
      <c r="E210" s="9" t="s">
        <v>121</v>
      </c>
      <c r="F210" s="9" t="s">
        <v>127</v>
      </c>
      <c r="G210" s="9" t="s">
        <v>52</v>
      </c>
      <c r="H210" s="9" t="s">
        <v>571</v>
      </c>
      <c r="I210" s="12" t="s">
        <v>140</v>
      </c>
      <c r="J210" s="12" t="s">
        <v>53</v>
      </c>
      <c r="K210" s="12" t="s">
        <v>53</v>
      </c>
      <c r="L210" s="12" t="s">
        <v>31</v>
      </c>
      <c r="M210" s="12">
        <v>28</v>
      </c>
      <c r="N210" s="9" t="s">
        <v>55</v>
      </c>
      <c r="O210" s="13" t="s">
        <v>33</v>
      </c>
      <c r="P210" s="14" t="s">
        <v>141</v>
      </c>
      <c r="Q210" s="9">
        <v>20</v>
      </c>
      <c r="R210" s="9">
        <v>20</v>
      </c>
      <c r="S210" s="9" t="s">
        <v>142</v>
      </c>
      <c r="T210" s="9">
        <v>8.26</v>
      </c>
      <c r="U210" s="9">
        <v>6.718</v>
      </c>
      <c r="V210" s="9">
        <v>0.54</v>
      </c>
      <c r="W210" s="9" t="s">
        <v>37</v>
      </c>
      <c r="X210" s="9">
        <v>36.299999999999997</v>
      </c>
      <c r="Y210" s="9">
        <v>0.54</v>
      </c>
      <c r="Z210" s="15">
        <f t="shared" si="277"/>
        <v>1.9610361754850452</v>
      </c>
      <c r="AA210" s="15">
        <f t="shared" si="291"/>
        <v>1.5152545794676231</v>
      </c>
      <c r="AC210" s="16">
        <f t="shared" si="278"/>
        <v>0.26791683248190312</v>
      </c>
      <c r="AD210" s="26">
        <f t="shared" si="279"/>
        <v>3.7325015779572066</v>
      </c>
      <c r="AE210" s="51">
        <v>24</v>
      </c>
      <c r="AF210" s="85" t="str">
        <f t="shared" si="280"/>
        <v>EC10</v>
      </c>
      <c r="AG210" s="9">
        <f t="shared" si="281"/>
        <v>1</v>
      </c>
      <c r="AH210" s="18">
        <f t="shared" si="282"/>
        <v>1.5152545794676231</v>
      </c>
      <c r="AI210" s="88" t="str">
        <f t="shared" si="283"/>
        <v>Chronic</v>
      </c>
      <c r="AJ210" s="9">
        <f t="shared" si="284"/>
        <v>1</v>
      </c>
      <c r="AK210" s="18">
        <f t="shared" si="285"/>
        <v>1.5152545794676231</v>
      </c>
      <c r="AM210" s="101" t="str">
        <f t="shared" si="286"/>
        <v>EC10</v>
      </c>
      <c r="AN210" s="102" t="s">
        <v>356</v>
      </c>
      <c r="AO210" s="103" t="str">
        <f t="shared" si="287"/>
        <v>Chronic</v>
      </c>
      <c r="AP210" s="102" t="str">
        <f t="shared" si="292"/>
        <v>y</v>
      </c>
      <c r="AQ210" s="104" t="str">
        <f t="shared" si="288"/>
        <v>Mortality</v>
      </c>
      <c r="AR210" s="196" t="s">
        <v>459</v>
      </c>
      <c r="AS210" s="105">
        <f t="shared" si="289"/>
        <v>28</v>
      </c>
      <c r="AT210" s="158" t="s">
        <v>460</v>
      </c>
      <c r="AU210" s="197"/>
      <c r="AV210" s="154">
        <f t="shared" ref="AV210:AV213" si="295">AK210</f>
        <v>1.5152545794676231</v>
      </c>
      <c r="AW210" s="155"/>
      <c r="AX210" s="197"/>
      <c r="AY210" s="198"/>
    </row>
    <row r="211" spans="1:52" x14ac:dyDescent="0.2">
      <c r="A211" s="19" t="s">
        <v>146</v>
      </c>
      <c r="B211" s="9">
        <v>254</v>
      </c>
      <c r="C211" s="10" t="s">
        <v>24</v>
      </c>
      <c r="D211" s="11" t="s">
        <v>139</v>
      </c>
      <c r="E211" s="9" t="s">
        <v>121</v>
      </c>
      <c r="F211" s="9" t="s">
        <v>127</v>
      </c>
      <c r="G211" s="9" t="s">
        <v>52</v>
      </c>
      <c r="H211" s="9" t="s">
        <v>571</v>
      </c>
      <c r="I211" s="12" t="s">
        <v>140</v>
      </c>
      <c r="J211" s="12" t="s">
        <v>53</v>
      </c>
      <c r="K211" s="12" t="s">
        <v>53</v>
      </c>
      <c r="L211" s="12" t="s">
        <v>133</v>
      </c>
      <c r="M211" s="12">
        <v>28</v>
      </c>
      <c r="N211" s="9" t="s">
        <v>55</v>
      </c>
      <c r="O211" s="13" t="s">
        <v>33</v>
      </c>
      <c r="P211" s="14" t="s">
        <v>129</v>
      </c>
      <c r="Q211" s="9" t="s">
        <v>130</v>
      </c>
      <c r="R211" s="9">
        <v>20</v>
      </c>
      <c r="S211" s="9" t="s">
        <v>131</v>
      </c>
      <c r="T211" s="9">
        <v>8.1999999999999993</v>
      </c>
      <c r="U211" s="9">
        <v>5.9020000000000001</v>
      </c>
      <c r="V211" s="9" t="s">
        <v>134</v>
      </c>
      <c r="W211" s="9" t="s">
        <v>37</v>
      </c>
      <c r="X211" s="9">
        <v>7.67</v>
      </c>
      <c r="Y211" s="9">
        <v>0.13</v>
      </c>
      <c r="Z211" s="15">
        <f t="shared" si="277"/>
        <v>0.4284575216169903</v>
      </c>
      <c r="AA211" s="15">
        <f t="shared" si="291"/>
        <v>0.33106080849167052</v>
      </c>
      <c r="AB211" t="s">
        <v>577</v>
      </c>
      <c r="AC211" s="16">
        <f t="shared" si="278"/>
        <v>0.30760968147407108</v>
      </c>
      <c r="AD211" s="26">
        <f t="shared" si="279"/>
        <v>3.2508729738543409</v>
      </c>
      <c r="AE211" s="51">
        <v>24</v>
      </c>
      <c r="AF211" s="85" t="str">
        <f t="shared" si="280"/>
        <v>IC10</v>
      </c>
      <c r="AG211" s="9">
        <f t="shared" si="281"/>
        <v>1</v>
      </c>
      <c r="AH211" s="18">
        <f t="shared" si="282"/>
        <v>0.33106080849167052</v>
      </c>
      <c r="AI211" s="88" t="str">
        <f t="shared" si="283"/>
        <v>Chronic</v>
      </c>
      <c r="AJ211" s="9">
        <f t="shared" si="284"/>
        <v>1</v>
      </c>
      <c r="AK211" s="18">
        <f t="shared" si="285"/>
        <v>0.33106080849167052</v>
      </c>
      <c r="AL211" s="16"/>
      <c r="AM211" s="110" t="str">
        <f t="shared" si="286"/>
        <v>IC10</v>
      </c>
      <c r="AN211" s="111" t="s">
        <v>356</v>
      </c>
      <c r="AO211" s="112" t="str">
        <f t="shared" si="287"/>
        <v>Chronic</v>
      </c>
      <c r="AP211" s="111" t="str">
        <f t="shared" si="292"/>
        <v>y</v>
      </c>
      <c r="AQ211" s="134" t="str">
        <f t="shared" si="288"/>
        <v>Mortality</v>
      </c>
      <c r="AR211" s="199" t="s">
        <v>459</v>
      </c>
      <c r="AS211" s="114">
        <f t="shared" si="289"/>
        <v>28</v>
      </c>
      <c r="AT211" s="199" t="s">
        <v>460</v>
      </c>
      <c r="AU211" s="200"/>
      <c r="AV211" s="152">
        <f t="shared" si="295"/>
        <v>0.33106080849167052</v>
      </c>
      <c r="AW211" s="116">
        <f>GEOMEAN(AV210:AV211)</f>
        <v>0.70826647961714073</v>
      </c>
      <c r="AX211" s="117">
        <f>MIN(AW211)</f>
        <v>0.70826647961714073</v>
      </c>
      <c r="AY211" s="125">
        <f>MIN(AX211:AX211)</f>
        <v>0.70826647961714073</v>
      </c>
    </row>
    <row r="212" spans="1:52" x14ac:dyDescent="0.2">
      <c r="A212" s="32" t="s">
        <v>148</v>
      </c>
      <c r="B212" s="33">
        <v>256</v>
      </c>
      <c r="C212" s="38" t="s">
        <v>24</v>
      </c>
      <c r="D212" s="35" t="s">
        <v>149</v>
      </c>
      <c r="E212" s="33" t="s">
        <v>121</v>
      </c>
      <c r="F212" s="33" t="s">
        <v>127</v>
      </c>
      <c r="G212" s="33" t="s">
        <v>52</v>
      </c>
      <c r="H212" s="33" t="s">
        <v>571</v>
      </c>
      <c r="I212" s="33" t="s">
        <v>37</v>
      </c>
      <c r="J212" s="36" t="s">
        <v>53</v>
      </c>
      <c r="K212" s="36" t="s">
        <v>53</v>
      </c>
      <c r="L212" s="36" t="s">
        <v>54</v>
      </c>
      <c r="M212" s="36">
        <v>6</v>
      </c>
      <c r="N212" s="33" t="s">
        <v>102</v>
      </c>
      <c r="O212" s="37" t="s">
        <v>33</v>
      </c>
      <c r="P212" s="38" t="s">
        <v>150</v>
      </c>
      <c r="Q212" s="33" t="s">
        <v>151</v>
      </c>
      <c r="R212" s="33">
        <v>21.8</v>
      </c>
      <c r="S212" s="33" t="s">
        <v>152</v>
      </c>
      <c r="T212" s="33">
        <v>7.8</v>
      </c>
      <c r="U212" s="33">
        <v>2.7679999999999998</v>
      </c>
      <c r="V212" s="33" t="s">
        <v>37</v>
      </c>
      <c r="W212" s="33">
        <v>30</v>
      </c>
      <c r="X212" s="33">
        <v>30</v>
      </c>
      <c r="Y212" s="40">
        <f t="shared" ref="Y212" si="296">X212/((U212/100)*1000)</f>
        <v>1.0838150289017343</v>
      </c>
      <c r="Z212" s="40">
        <f t="shared" si="277"/>
        <v>2.0127302212112239</v>
      </c>
      <c r="AA212" s="40">
        <f t="shared" si="291"/>
        <v>1.7465682762244468</v>
      </c>
      <c r="AB212" s="16"/>
      <c r="AC212" s="16">
        <f t="shared" si="278"/>
        <v>0.77268058509570214</v>
      </c>
      <c r="AD212" s="26">
        <f t="shared" si="279"/>
        <v>1.2941958414499863</v>
      </c>
      <c r="AE212" s="51">
        <v>24</v>
      </c>
      <c r="AF212" s="85" t="str">
        <f t="shared" si="280"/>
        <v>NOEC</v>
      </c>
      <c r="AG212" s="9">
        <f t="shared" si="281"/>
        <v>1</v>
      </c>
      <c r="AH212" s="18">
        <f t="shared" si="282"/>
        <v>1.7465682762244468</v>
      </c>
      <c r="AI212" s="88" t="str">
        <f t="shared" si="283"/>
        <v>Chronic</v>
      </c>
      <c r="AJ212" s="9">
        <f t="shared" si="284"/>
        <v>1</v>
      </c>
      <c r="AK212" s="18">
        <f t="shared" si="285"/>
        <v>1.7465682762244468</v>
      </c>
      <c r="AL212" s="16"/>
      <c r="AM212" s="101" t="str">
        <f t="shared" si="286"/>
        <v>NOEC</v>
      </c>
      <c r="AN212" s="102" t="s">
        <v>356</v>
      </c>
      <c r="AO212" s="103" t="str">
        <f t="shared" si="287"/>
        <v>Chronic</v>
      </c>
      <c r="AP212" s="102" t="str">
        <f t="shared" si="292"/>
        <v>y</v>
      </c>
      <c r="AQ212" s="104" t="str">
        <f t="shared" si="288"/>
        <v>Mortality</v>
      </c>
      <c r="AR212" s="102" t="s">
        <v>459</v>
      </c>
      <c r="AS212" s="105">
        <f t="shared" si="289"/>
        <v>6</v>
      </c>
      <c r="AT212" s="102" t="s">
        <v>460</v>
      </c>
      <c r="AU212" s="102"/>
      <c r="AV212" s="154">
        <f t="shared" si="295"/>
        <v>1.7465682762244468</v>
      </c>
      <c r="AW212" s="118">
        <f>GEOMEAN(AV212)</f>
        <v>1.7465682762244468</v>
      </c>
      <c r="AX212" s="119">
        <f>MIN(AW212:AW212)</f>
        <v>1.7465682762244468</v>
      </c>
      <c r="AY212" s="126">
        <f>MIN(AX212)</f>
        <v>1.7465682762244468</v>
      </c>
    </row>
    <row r="213" spans="1:52" x14ac:dyDescent="0.2">
      <c r="A213" s="8" t="s">
        <v>168</v>
      </c>
      <c r="B213" s="9">
        <v>242</v>
      </c>
      <c r="C213" s="10" t="s">
        <v>24</v>
      </c>
      <c r="D213" s="11" t="s">
        <v>155</v>
      </c>
      <c r="E213" s="9" t="s">
        <v>121</v>
      </c>
      <c r="F213" s="9" t="s">
        <v>127</v>
      </c>
      <c r="G213" s="9" t="s">
        <v>52</v>
      </c>
      <c r="H213" s="9" t="s">
        <v>571</v>
      </c>
      <c r="I213" s="12" t="s">
        <v>156</v>
      </c>
      <c r="J213" s="12" t="s">
        <v>136</v>
      </c>
      <c r="K213" s="12" t="s">
        <v>169</v>
      </c>
      <c r="L213" s="12" t="s">
        <v>54</v>
      </c>
      <c r="M213" s="12">
        <v>60</v>
      </c>
      <c r="N213" s="9" t="s">
        <v>55</v>
      </c>
      <c r="O213" s="13" t="s">
        <v>33</v>
      </c>
      <c r="P213" s="14" t="s">
        <v>157</v>
      </c>
      <c r="Q213" s="9">
        <v>20</v>
      </c>
      <c r="R213" s="9">
        <v>20</v>
      </c>
      <c r="S213" s="28" t="s">
        <v>158</v>
      </c>
      <c r="T213" s="28">
        <v>7.73</v>
      </c>
      <c r="U213" s="26" t="s">
        <v>170</v>
      </c>
      <c r="V213" s="9">
        <v>0.65</v>
      </c>
      <c r="W213" s="9">
        <v>12</v>
      </c>
      <c r="X213" s="9">
        <v>12</v>
      </c>
      <c r="Y213" s="9">
        <v>0.65</v>
      </c>
      <c r="Z213" s="15">
        <f t="shared" si="277"/>
        <v>1.1105489745328638</v>
      </c>
      <c r="AA213" s="15">
        <f t="shared" si="291"/>
        <v>0.85809963141948542</v>
      </c>
      <c r="AC213" s="16">
        <f t="shared" si="278"/>
        <v>0.90782053017818432</v>
      </c>
      <c r="AD213" s="26">
        <f t="shared" si="279"/>
        <v>1.1015393095414168</v>
      </c>
      <c r="AE213" s="51">
        <v>24</v>
      </c>
      <c r="AF213" s="85" t="str">
        <f t="shared" si="280"/>
        <v>NOEC</v>
      </c>
      <c r="AG213" s="9">
        <f t="shared" si="281"/>
        <v>1</v>
      </c>
      <c r="AH213" s="18">
        <f t="shared" si="282"/>
        <v>0.85809963141948542</v>
      </c>
      <c r="AI213" s="88" t="str">
        <f t="shared" si="283"/>
        <v>Chronic</v>
      </c>
      <c r="AJ213" s="9">
        <f t="shared" si="284"/>
        <v>1</v>
      </c>
      <c r="AK213" s="18">
        <f t="shared" si="285"/>
        <v>0.85809963141948542</v>
      </c>
      <c r="AL213" s="16"/>
      <c r="AM213" s="110" t="str">
        <f t="shared" si="286"/>
        <v>NOEC</v>
      </c>
      <c r="AN213" s="111" t="s">
        <v>356</v>
      </c>
      <c r="AO213" s="112" t="str">
        <f t="shared" si="287"/>
        <v>Chronic</v>
      </c>
      <c r="AP213" s="111" t="str">
        <f t="shared" si="292"/>
        <v>y</v>
      </c>
      <c r="AQ213" s="134" t="str">
        <f t="shared" si="288"/>
        <v>Length</v>
      </c>
      <c r="AR213" s="111" t="s">
        <v>475</v>
      </c>
      <c r="AS213" s="114">
        <f t="shared" si="289"/>
        <v>60</v>
      </c>
      <c r="AT213" s="111" t="s">
        <v>476</v>
      </c>
      <c r="AU213" s="111"/>
      <c r="AV213" s="152">
        <f t="shared" si="295"/>
        <v>0.85809963141948542</v>
      </c>
      <c r="AW213" s="116">
        <f>GEOMEAN(AV213)</f>
        <v>0.85809963141948542</v>
      </c>
      <c r="AX213" s="117">
        <f>MIN(AW213)</f>
        <v>0.85809963141948542</v>
      </c>
      <c r="AY213" s="125">
        <f>MIN(AX213:AX213)</f>
        <v>0.85809963141948542</v>
      </c>
    </row>
    <row r="214" spans="1:52" x14ac:dyDescent="0.2">
      <c r="A214" s="32" t="s">
        <v>176</v>
      </c>
      <c r="B214" s="33">
        <v>254</v>
      </c>
      <c r="C214" s="34" t="s">
        <v>24</v>
      </c>
      <c r="D214" s="35" t="s">
        <v>172</v>
      </c>
      <c r="E214" s="33" t="s">
        <v>121</v>
      </c>
      <c r="F214" s="33" t="s">
        <v>127</v>
      </c>
      <c r="G214" s="33" t="s">
        <v>52</v>
      </c>
      <c r="H214" s="33" t="s">
        <v>571</v>
      </c>
      <c r="I214" s="36" t="s">
        <v>128</v>
      </c>
      <c r="J214" s="36" t="s">
        <v>177</v>
      </c>
      <c r="K214" s="36" t="s">
        <v>137</v>
      </c>
      <c r="L214" s="36" t="s">
        <v>133</v>
      </c>
      <c r="M214" s="36">
        <v>28</v>
      </c>
      <c r="N214" s="33" t="s">
        <v>55</v>
      </c>
      <c r="O214" s="37" t="s">
        <v>33</v>
      </c>
      <c r="P214" s="38" t="s">
        <v>129</v>
      </c>
      <c r="Q214" s="33" t="s">
        <v>130</v>
      </c>
      <c r="R214" s="33">
        <v>20</v>
      </c>
      <c r="S214" s="33" t="s">
        <v>131</v>
      </c>
      <c r="T214" s="33">
        <v>8.1999999999999993</v>
      </c>
      <c r="U214" s="33">
        <v>5.9020000000000001</v>
      </c>
      <c r="V214" s="33" t="s">
        <v>175</v>
      </c>
      <c r="W214" s="33" t="s">
        <v>37</v>
      </c>
      <c r="X214" s="33">
        <v>23.6</v>
      </c>
      <c r="Y214" s="33">
        <v>0.4</v>
      </c>
      <c r="Z214" s="40">
        <f t="shared" si="277"/>
        <v>1.3183308357445855</v>
      </c>
      <c r="AA214" s="40">
        <f t="shared" si="291"/>
        <v>1.0186486415128326</v>
      </c>
      <c r="AB214" t="s">
        <v>577</v>
      </c>
      <c r="AC214" s="16">
        <f t="shared" si="278"/>
        <v>0.30760968147407108</v>
      </c>
      <c r="AD214" s="26">
        <f t="shared" si="279"/>
        <v>3.2508729738543409</v>
      </c>
      <c r="AE214" s="51">
        <v>24</v>
      </c>
      <c r="AF214" s="85" t="str">
        <f t="shared" si="280"/>
        <v>IC10</v>
      </c>
      <c r="AG214" s="9">
        <f t="shared" si="281"/>
        <v>1</v>
      </c>
      <c r="AH214" s="18">
        <f t="shared" si="282"/>
        <v>1.0186486415128326</v>
      </c>
      <c r="AI214" s="88" t="str">
        <f t="shared" si="283"/>
        <v>Chronic</v>
      </c>
      <c r="AJ214" s="9">
        <f t="shared" si="284"/>
        <v>1</v>
      </c>
      <c r="AK214" s="18">
        <f t="shared" si="285"/>
        <v>1.0186486415128326</v>
      </c>
      <c r="AL214" s="16"/>
      <c r="AM214" s="110" t="str">
        <f t="shared" si="286"/>
        <v>IC10</v>
      </c>
      <c r="AN214" s="111" t="s">
        <v>356</v>
      </c>
      <c r="AO214" s="112" t="str">
        <f t="shared" si="287"/>
        <v>Chronic</v>
      </c>
      <c r="AP214" s="111" t="str">
        <f t="shared" si="292"/>
        <v>y</v>
      </c>
      <c r="AQ214" s="134" t="str">
        <f t="shared" si="288"/>
        <v>Shell length</v>
      </c>
      <c r="AR214" s="111" t="s">
        <v>473</v>
      </c>
      <c r="AS214" s="114">
        <f t="shared" si="289"/>
        <v>28</v>
      </c>
      <c r="AT214" s="111" t="s">
        <v>474</v>
      </c>
      <c r="AU214" s="111"/>
      <c r="AV214" s="152">
        <f>AK214</f>
        <v>1.0186486415128326</v>
      </c>
      <c r="AW214" s="116">
        <f>GEOMEAN(AV214)</f>
        <v>1.0186486415128326</v>
      </c>
      <c r="AX214" s="117">
        <f>MIN(AW214)</f>
        <v>1.0186486415128326</v>
      </c>
      <c r="AY214" s="125">
        <f>MIN(AX214:AX214)</f>
        <v>1.0186486415128326</v>
      </c>
    </row>
    <row r="215" spans="1:52" x14ac:dyDescent="0.2">
      <c r="A215" s="193" t="s">
        <v>612</v>
      </c>
    </row>
    <row r="216" spans="1:52" x14ac:dyDescent="0.2">
      <c r="A216" s="32" t="s">
        <v>48</v>
      </c>
      <c r="B216" s="33">
        <v>236</v>
      </c>
      <c r="C216" s="34" t="s">
        <v>24</v>
      </c>
      <c r="D216" s="35" t="s">
        <v>49</v>
      </c>
      <c r="E216" s="33" t="s">
        <v>50</v>
      </c>
      <c r="F216" s="33" t="s">
        <v>51</v>
      </c>
      <c r="G216" s="33" t="s">
        <v>52</v>
      </c>
      <c r="H216" s="33" t="s">
        <v>571</v>
      </c>
      <c r="I216" s="36" t="s">
        <v>37</v>
      </c>
      <c r="J216" s="36" t="s">
        <v>53</v>
      </c>
      <c r="K216" s="36" t="s">
        <v>53</v>
      </c>
      <c r="L216" s="36" t="s">
        <v>54</v>
      </c>
      <c r="M216" s="36">
        <v>30</v>
      </c>
      <c r="N216" s="33" t="s">
        <v>55</v>
      </c>
      <c r="O216" s="37" t="s">
        <v>33</v>
      </c>
      <c r="P216" s="38" t="s">
        <v>56</v>
      </c>
      <c r="Q216" s="33" t="s">
        <v>57</v>
      </c>
      <c r="R216" s="40">
        <v>15.1</v>
      </c>
      <c r="S216" s="33" t="s">
        <v>58</v>
      </c>
      <c r="T216" s="33">
        <v>8.11</v>
      </c>
      <c r="U216" s="33">
        <v>3.42</v>
      </c>
      <c r="V216" s="33" t="s">
        <v>37</v>
      </c>
      <c r="W216" s="33">
        <v>20</v>
      </c>
      <c r="X216" s="40">
        <v>20</v>
      </c>
      <c r="Y216" s="40">
        <f t="shared" ref="Y216:Y220" si="297">X216/((U216/100)*1000)</f>
        <v>0.58479532163742687</v>
      </c>
      <c r="Z216" s="40">
        <f t="shared" ref="Z216:Z229" si="298">Y216/((0.0278/(1+AC216))+(1.1994/(1+AD216)))</f>
        <v>1.6734482467670493</v>
      </c>
      <c r="AA216" s="40">
        <f>POWER(10,LOG(Z216)-(-0.028*(R216-AE216)))</f>
        <v>0.88391862678153865</v>
      </c>
      <c r="AC216" s="16">
        <f t="shared" ref="AC216:AC229" si="299">POWER(10,7.688-T216)</f>
        <v>0.37844258471709358</v>
      </c>
      <c r="AD216" s="26">
        <f t="shared" ref="AD216:AD229" si="300">POWER(10,T216-7.688)</f>
        <v>2.6424087573219448</v>
      </c>
      <c r="AE216" s="51">
        <v>25</v>
      </c>
      <c r="AF216" s="85" t="str">
        <f t="shared" ref="AF216:AF229" si="301">L216</f>
        <v>NOEC</v>
      </c>
      <c r="AG216" s="9">
        <f t="shared" ref="AG216:AG229" si="302">VLOOKUP(AF216,$BD$6:$BE$17,2,FALSE)</f>
        <v>1</v>
      </c>
      <c r="AH216" s="18">
        <f t="shared" ref="AH216:AH229" si="303">AA216/AG216</f>
        <v>0.88391862678153865</v>
      </c>
      <c r="AI216" s="88" t="str">
        <f t="shared" ref="AI216:AI229" si="304">O216</f>
        <v>Chronic</v>
      </c>
      <c r="AJ216" s="9">
        <f t="shared" ref="AJ216:AJ229" si="305">VLOOKUP(AI216,$BD$19:$BF$20,2,FALSE)</f>
        <v>1</v>
      </c>
      <c r="AK216" s="18">
        <f t="shared" ref="AK216:AK229" si="306">AH216/AJ216</f>
        <v>0.88391862678153865</v>
      </c>
      <c r="AL216" s="16"/>
      <c r="AM216" s="127" t="str">
        <f t="shared" ref="AM216:AM229" si="307">L216</f>
        <v>NOEC</v>
      </c>
      <c r="AN216" s="128" t="s">
        <v>356</v>
      </c>
      <c r="AO216" s="129" t="str">
        <f t="shared" ref="AO216:AO229" si="308">O216</f>
        <v>Chronic</v>
      </c>
      <c r="AP216" s="128" t="str">
        <f>IF(AO216="chronic","y","n")</f>
        <v>y</v>
      </c>
      <c r="AQ216" s="130" t="str">
        <f t="shared" ref="AQ216:AQ229" si="309">K216</f>
        <v>Mortality</v>
      </c>
      <c r="AR216" s="128" t="s">
        <v>459</v>
      </c>
      <c r="AS216" s="131">
        <f t="shared" ref="AS216:AS229" si="310">M216</f>
        <v>30</v>
      </c>
      <c r="AT216" s="128" t="s">
        <v>460</v>
      </c>
      <c r="AU216" s="128"/>
      <c r="AV216" s="189">
        <f t="shared" ref="AV216:AV222" si="311">AK216</f>
        <v>0.88391862678153865</v>
      </c>
      <c r="AW216" s="190">
        <f>GEOMEAN(AV216)</f>
        <v>0.88391862678153865</v>
      </c>
      <c r="AX216" s="191">
        <f>MIN(AW216)</f>
        <v>0.88391862678153865</v>
      </c>
      <c r="AY216" s="192">
        <f>MIN(AX216)</f>
        <v>0.88391862678153865</v>
      </c>
      <c r="AZ216" s="206" t="str">
        <f>A215</f>
        <v>25°C</v>
      </c>
    </row>
    <row r="217" spans="1:52" x14ac:dyDescent="0.2">
      <c r="A217" s="19" t="s">
        <v>59</v>
      </c>
      <c r="B217" s="9">
        <v>245</v>
      </c>
      <c r="C217" s="10" t="s">
        <v>24</v>
      </c>
      <c r="D217" s="11" t="s">
        <v>60</v>
      </c>
      <c r="E217" s="20" t="s">
        <v>61</v>
      </c>
      <c r="F217" s="9" t="s">
        <v>62</v>
      </c>
      <c r="G217" s="9" t="s">
        <v>52</v>
      </c>
      <c r="H217" s="9" t="s">
        <v>571</v>
      </c>
      <c r="I217" s="12" t="s">
        <v>63</v>
      </c>
      <c r="J217" s="12" t="s">
        <v>64</v>
      </c>
      <c r="K217" s="12" t="s">
        <v>64</v>
      </c>
      <c r="L217" s="12" t="s">
        <v>54</v>
      </c>
      <c r="M217" s="12">
        <v>7</v>
      </c>
      <c r="N217" s="9" t="s">
        <v>55</v>
      </c>
      <c r="O217" s="21" t="s">
        <v>33</v>
      </c>
      <c r="P217" s="14" t="s">
        <v>65</v>
      </c>
      <c r="Q217" s="9">
        <v>25</v>
      </c>
      <c r="R217" s="9">
        <v>25</v>
      </c>
      <c r="S217" s="22">
        <v>8</v>
      </c>
      <c r="T217" s="22">
        <v>8</v>
      </c>
      <c r="U217" s="20">
        <v>5.3659999999999997</v>
      </c>
      <c r="V217" s="20" t="s">
        <v>37</v>
      </c>
      <c r="W217" s="20">
        <v>680</v>
      </c>
      <c r="X217" s="9">
        <v>680</v>
      </c>
      <c r="Y217" s="27">
        <f t="shared" si="297"/>
        <v>12.672381662318301</v>
      </c>
      <c r="Z217" s="15">
        <f t="shared" si="298"/>
        <v>30.774279778328605</v>
      </c>
      <c r="AA217" s="15">
        <f t="shared" ref="AA217:AA229" si="312">POWER(10,LOG(Z217)-(-0.028*(R217-AE217)))</f>
        <v>30.774279778328609</v>
      </c>
      <c r="AC217" s="16">
        <f t="shared" si="299"/>
        <v>0.48752849010338595</v>
      </c>
      <c r="AD217" s="26">
        <f t="shared" si="300"/>
        <v>2.051162178825567</v>
      </c>
      <c r="AE217" s="51">
        <v>25</v>
      </c>
      <c r="AF217" s="85" t="str">
        <f t="shared" si="301"/>
        <v>NOEC</v>
      </c>
      <c r="AG217" s="9">
        <f t="shared" si="302"/>
        <v>1</v>
      </c>
      <c r="AH217" s="18">
        <f t="shared" si="303"/>
        <v>30.774279778328609</v>
      </c>
      <c r="AI217" s="88" t="str">
        <f t="shared" si="304"/>
        <v>Chronic</v>
      </c>
      <c r="AJ217" s="9">
        <f t="shared" si="305"/>
        <v>1</v>
      </c>
      <c r="AK217" s="18">
        <f t="shared" si="306"/>
        <v>30.774279778328609</v>
      </c>
      <c r="AL217" s="16"/>
      <c r="AM217" s="101" t="str">
        <f t="shared" si="307"/>
        <v>NOEC</v>
      </c>
      <c r="AN217" s="102" t="s">
        <v>356</v>
      </c>
      <c r="AO217" s="103" t="str">
        <f t="shared" si="308"/>
        <v>Chronic</v>
      </c>
      <c r="AP217" s="102" t="str">
        <f t="shared" ref="AP217:AP229" si="313">IF(AO217="chronic","y","n")</f>
        <v>y</v>
      </c>
      <c r="AQ217" s="104" t="str">
        <f t="shared" si="309"/>
        <v>Reproduction</v>
      </c>
      <c r="AR217" s="102" t="s">
        <v>459</v>
      </c>
      <c r="AS217" s="105">
        <f t="shared" si="310"/>
        <v>7</v>
      </c>
      <c r="AT217" s="102" t="s">
        <v>460</v>
      </c>
      <c r="AU217" s="102"/>
      <c r="AV217" s="106">
        <f t="shared" si="311"/>
        <v>30.774279778328609</v>
      </c>
      <c r="AW217" s="107">
        <f>GEOMEAN(AV217:AV217)</f>
        <v>30.774279778328609</v>
      </c>
      <c r="AX217" s="108">
        <f>MIN(AW217:AW217)</f>
        <v>30.774279778328609</v>
      </c>
      <c r="AY217" s="109">
        <f>MIN(AX217)</f>
        <v>30.774279778328609</v>
      </c>
    </row>
    <row r="218" spans="1:52" x14ac:dyDescent="0.2">
      <c r="A218" s="32" t="s">
        <v>82</v>
      </c>
      <c r="B218" s="33">
        <v>240</v>
      </c>
      <c r="C218" s="34" t="s">
        <v>24</v>
      </c>
      <c r="D218" s="35" t="s">
        <v>77</v>
      </c>
      <c r="E218" s="33" t="s">
        <v>61</v>
      </c>
      <c r="F218" s="33" t="s">
        <v>62</v>
      </c>
      <c r="G218" s="33" t="s">
        <v>52</v>
      </c>
      <c r="H218" s="33" t="s">
        <v>571</v>
      </c>
      <c r="I218" s="36" t="s">
        <v>78</v>
      </c>
      <c r="J218" s="36" t="s">
        <v>83</v>
      </c>
      <c r="K218" s="36" t="s">
        <v>84</v>
      </c>
      <c r="L218" s="36" t="s">
        <v>54</v>
      </c>
      <c r="M218" s="36">
        <v>21</v>
      </c>
      <c r="N218" s="33" t="s">
        <v>55</v>
      </c>
      <c r="O218" s="37" t="s">
        <v>33</v>
      </c>
      <c r="P218" s="38" t="s">
        <v>79</v>
      </c>
      <c r="Q218" s="33" t="s">
        <v>80</v>
      </c>
      <c r="R218" s="40">
        <v>19.8</v>
      </c>
      <c r="S218" s="33" t="s">
        <v>81</v>
      </c>
      <c r="T218" s="33">
        <v>8.4499999999999993</v>
      </c>
      <c r="U218" s="33">
        <v>9.9039999999999999</v>
      </c>
      <c r="V218" s="44" t="s">
        <v>37</v>
      </c>
      <c r="W218" s="44" t="s">
        <v>37</v>
      </c>
      <c r="X218" s="33">
        <v>420</v>
      </c>
      <c r="Y218" s="40">
        <f t="shared" si="297"/>
        <v>4.2407108239095308</v>
      </c>
      <c r="Z218" s="40">
        <f t="shared" si="298"/>
        <v>21.142464693435951</v>
      </c>
      <c r="AA218" s="40">
        <f t="shared" si="312"/>
        <v>15.120133093603487</v>
      </c>
      <c r="AC218" s="16">
        <f t="shared" si="299"/>
        <v>0.17298163592151028</v>
      </c>
      <c r="AD218" s="26">
        <f t="shared" si="300"/>
        <v>5.7809604740571769</v>
      </c>
      <c r="AE218" s="51">
        <v>25</v>
      </c>
      <c r="AF218" s="85" t="str">
        <f t="shared" si="301"/>
        <v>NOEC</v>
      </c>
      <c r="AG218" s="9">
        <f t="shared" si="302"/>
        <v>1</v>
      </c>
      <c r="AH218" s="18">
        <f t="shared" si="303"/>
        <v>15.120133093603487</v>
      </c>
      <c r="AI218" s="88" t="str">
        <f t="shared" si="304"/>
        <v>Chronic</v>
      </c>
      <c r="AJ218" s="9">
        <f t="shared" si="305"/>
        <v>1</v>
      </c>
      <c r="AK218" s="18">
        <f t="shared" si="306"/>
        <v>15.120133093603487</v>
      </c>
      <c r="AL218" s="16"/>
      <c r="AM218" s="101" t="str">
        <f t="shared" si="307"/>
        <v>NOEC</v>
      </c>
      <c r="AN218" s="102" t="s">
        <v>356</v>
      </c>
      <c r="AO218" s="103" t="str">
        <f t="shared" si="308"/>
        <v>Chronic</v>
      </c>
      <c r="AP218" s="102" t="str">
        <f t="shared" si="313"/>
        <v>y</v>
      </c>
      <c r="AQ218" s="104" t="str">
        <f t="shared" si="309"/>
        <v>Mean total young/daphnid</v>
      </c>
      <c r="AR218" s="102" t="s">
        <v>459</v>
      </c>
      <c r="AS218" s="105">
        <f t="shared" si="310"/>
        <v>21</v>
      </c>
      <c r="AT218" s="102" t="s">
        <v>460</v>
      </c>
      <c r="AU218" s="102"/>
      <c r="AV218" s="147">
        <f t="shared" si="311"/>
        <v>15.120133093603487</v>
      </c>
      <c r="AW218" s="107">
        <f>GEOMEAN(AV218:AV218)</f>
        <v>15.120133093603487</v>
      </c>
      <c r="AX218" s="108">
        <f>MIN(AW218)</f>
        <v>15.120133093603487</v>
      </c>
      <c r="AY218" s="109"/>
    </row>
    <row r="219" spans="1:52" x14ac:dyDescent="0.2">
      <c r="A219" s="32" t="s">
        <v>87</v>
      </c>
      <c r="B219" s="33">
        <v>240</v>
      </c>
      <c r="C219" s="34" t="s">
        <v>24</v>
      </c>
      <c r="D219" s="35" t="s">
        <v>77</v>
      </c>
      <c r="E219" s="33" t="s">
        <v>61</v>
      </c>
      <c r="F219" s="33" t="s">
        <v>62</v>
      </c>
      <c r="G219" s="33" t="s">
        <v>52</v>
      </c>
      <c r="H219" s="33" t="s">
        <v>571</v>
      </c>
      <c r="I219" s="36" t="s">
        <v>78</v>
      </c>
      <c r="J219" s="36" t="s">
        <v>83</v>
      </c>
      <c r="K219" s="36" t="s">
        <v>88</v>
      </c>
      <c r="L219" s="36" t="s">
        <v>54</v>
      </c>
      <c r="M219" s="36">
        <v>21</v>
      </c>
      <c r="N219" s="33" t="s">
        <v>55</v>
      </c>
      <c r="O219" s="37" t="s">
        <v>33</v>
      </c>
      <c r="P219" s="38" t="s">
        <v>79</v>
      </c>
      <c r="Q219" s="33" t="s">
        <v>80</v>
      </c>
      <c r="R219" s="40">
        <v>19.8</v>
      </c>
      <c r="S219" s="33" t="s">
        <v>81</v>
      </c>
      <c r="T219" s="33">
        <v>8.4499999999999993</v>
      </c>
      <c r="U219" s="33">
        <v>9.9039999999999999</v>
      </c>
      <c r="V219" s="44" t="s">
        <v>37</v>
      </c>
      <c r="W219" s="44" t="s">
        <v>37</v>
      </c>
      <c r="X219" s="33">
        <v>420</v>
      </c>
      <c r="Y219" s="40">
        <f t="shared" si="297"/>
        <v>4.2407108239095308</v>
      </c>
      <c r="Z219" s="40">
        <f t="shared" si="298"/>
        <v>21.142464693435951</v>
      </c>
      <c r="AA219" s="40">
        <f t="shared" si="312"/>
        <v>15.120133093603487</v>
      </c>
      <c r="AC219" s="16">
        <f t="shared" si="299"/>
        <v>0.17298163592151028</v>
      </c>
      <c r="AD219" s="26">
        <f t="shared" si="300"/>
        <v>5.7809604740571769</v>
      </c>
      <c r="AE219" s="51">
        <v>25</v>
      </c>
      <c r="AF219" s="85" t="str">
        <f t="shared" si="301"/>
        <v>NOEC</v>
      </c>
      <c r="AG219" s="9">
        <f t="shared" si="302"/>
        <v>1</v>
      </c>
      <c r="AH219" s="18">
        <f t="shared" si="303"/>
        <v>15.120133093603487</v>
      </c>
      <c r="AI219" s="88" t="str">
        <f t="shared" si="304"/>
        <v>Chronic</v>
      </c>
      <c r="AJ219" s="9">
        <f t="shared" si="305"/>
        <v>1</v>
      </c>
      <c r="AK219" s="18">
        <f t="shared" si="306"/>
        <v>15.120133093603487</v>
      </c>
      <c r="AL219" s="16"/>
      <c r="AM219" s="132" t="str">
        <f t="shared" si="307"/>
        <v>NOEC</v>
      </c>
      <c r="AN219" s="67" t="s">
        <v>356</v>
      </c>
      <c r="AO219" s="88" t="str">
        <f t="shared" si="308"/>
        <v>Chronic</v>
      </c>
      <c r="AP219" s="67" t="str">
        <f t="shared" si="313"/>
        <v>y</v>
      </c>
      <c r="AQ219" s="69" t="str">
        <f t="shared" si="309"/>
        <v>Mean brood size/daphnid</v>
      </c>
      <c r="AR219" s="67" t="s">
        <v>475</v>
      </c>
      <c r="AS219" s="70">
        <f t="shared" si="310"/>
        <v>21</v>
      </c>
      <c r="AT219" s="67" t="s">
        <v>476</v>
      </c>
      <c r="AU219" s="67"/>
      <c r="AV219" s="82">
        <f t="shared" si="311"/>
        <v>15.120133093603487</v>
      </c>
      <c r="AW219" s="81">
        <f>GEOMEAN(AV219:AV219)</f>
        <v>15.120133093603487</v>
      </c>
      <c r="AX219" s="78">
        <f>MIN(AW219)</f>
        <v>15.120133093603487</v>
      </c>
      <c r="AY219" s="133"/>
    </row>
    <row r="220" spans="1:52" x14ac:dyDescent="0.2">
      <c r="A220" s="32" t="s">
        <v>89</v>
      </c>
      <c r="B220" s="33">
        <v>240</v>
      </c>
      <c r="C220" s="34" t="s">
        <v>24</v>
      </c>
      <c r="D220" s="35" t="s">
        <v>77</v>
      </c>
      <c r="E220" s="33" t="s">
        <v>61</v>
      </c>
      <c r="F220" s="33" t="s">
        <v>62</v>
      </c>
      <c r="G220" s="33" t="s">
        <v>52</v>
      </c>
      <c r="H220" s="33" t="s">
        <v>571</v>
      </c>
      <c r="I220" s="36" t="s">
        <v>78</v>
      </c>
      <c r="J220" s="36" t="s">
        <v>53</v>
      </c>
      <c r="K220" s="36" t="s">
        <v>53</v>
      </c>
      <c r="L220" s="36" t="s">
        <v>54</v>
      </c>
      <c r="M220" s="36">
        <v>21</v>
      </c>
      <c r="N220" s="33" t="s">
        <v>55</v>
      </c>
      <c r="O220" s="37" t="s">
        <v>33</v>
      </c>
      <c r="P220" s="38" t="s">
        <v>79</v>
      </c>
      <c r="Q220" s="33" t="s">
        <v>80</v>
      </c>
      <c r="R220" s="40">
        <v>19.8</v>
      </c>
      <c r="S220" s="33" t="s">
        <v>81</v>
      </c>
      <c r="T220" s="33">
        <v>8.4499999999999993</v>
      </c>
      <c r="U220" s="33">
        <v>9.9039999999999999</v>
      </c>
      <c r="V220" s="44" t="s">
        <v>37</v>
      </c>
      <c r="W220" s="44" t="s">
        <v>37</v>
      </c>
      <c r="X220" s="33">
        <v>420</v>
      </c>
      <c r="Y220" s="40">
        <f t="shared" si="297"/>
        <v>4.2407108239095308</v>
      </c>
      <c r="Z220" s="40">
        <f t="shared" si="298"/>
        <v>21.142464693435951</v>
      </c>
      <c r="AA220" s="40">
        <f t="shared" si="312"/>
        <v>15.120133093603487</v>
      </c>
      <c r="AC220" s="16">
        <f t="shared" si="299"/>
        <v>0.17298163592151028</v>
      </c>
      <c r="AD220" s="26">
        <f t="shared" si="300"/>
        <v>5.7809604740571769</v>
      </c>
      <c r="AE220" s="51">
        <v>25</v>
      </c>
      <c r="AF220" s="85" t="str">
        <f t="shared" si="301"/>
        <v>NOEC</v>
      </c>
      <c r="AG220" s="9">
        <f t="shared" si="302"/>
        <v>1</v>
      </c>
      <c r="AH220" s="18">
        <f t="shared" si="303"/>
        <v>15.120133093603487</v>
      </c>
      <c r="AI220" s="88" t="str">
        <f t="shared" si="304"/>
        <v>Chronic</v>
      </c>
      <c r="AJ220" s="9">
        <f t="shared" si="305"/>
        <v>1</v>
      </c>
      <c r="AK220" s="18">
        <f t="shared" si="306"/>
        <v>15.120133093603487</v>
      </c>
      <c r="AL220" s="16"/>
      <c r="AM220" s="110" t="str">
        <f t="shared" si="307"/>
        <v>NOEC</v>
      </c>
      <c r="AN220" s="111" t="s">
        <v>356</v>
      </c>
      <c r="AO220" s="112" t="str">
        <f t="shared" si="308"/>
        <v>Chronic</v>
      </c>
      <c r="AP220" s="111" t="str">
        <f t="shared" si="313"/>
        <v>y</v>
      </c>
      <c r="AQ220" s="134" t="str">
        <f t="shared" si="309"/>
        <v>Mortality</v>
      </c>
      <c r="AR220" s="111" t="s">
        <v>55</v>
      </c>
      <c r="AS220" s="114">
        <f t="shared" si="310"/>
        <v>21</v>
      </c>
      <c r="AT220" s="111" t="s">
        <v>477</v>
      </c>
      <c r="AU220" s="111"/>
      <c r="AV220" s="138">
        <f t="shared" si="311"/>
        <v>15.120133093603487</v>
      </c>
      <c r="AW220" s="135">
        <f>GEOMEAN(AV220:AV220)</f>
        <v>15.120133093603487</v>
      </c>
      <c r="AX220" s="136">
        <f>MIN(AW220)</f>
        <v>15.120133093603487</v>
      </c>
      <c r="AY220" s="137">
        <f>MIN(AX218:AX220)</f>
        <v>15.120133093603487</v>
      </c>
    </row>
    <row r="221" spans="1:52" x14ac:dyDescent="0.2">
      <c r="A221" s="19" t="s">
        <v>90</v>
      </c>
      <c r="B221" s="23">
        <v>231</v>
      </c>
      <c r="C221" s="10" t="s">
        <v>24</v>
      </c>
      <c r="D221" s="11" t="s">
        <v>91</v>
      </c>
      <c r="E221" s="9" t="s">
        <v>61</v>
      </c>
      <c r="F221" s="9" t="s">
        <v>92</v>
      </c>
      <c r="G221" s="9" t="s">
        <v>93</v>
      </c>
      <c r="H221" s="9" t="s">
        <v>571</v>
      </c>
      <c r="I221" s="9" t="s">
        <v>94</v>
      </c>
      <c r="J221" s="12" t="s">
        <v>53</v>
      </c>
      <c r="K221" s="12" t="s">
        <v>95</v>
      </c>
      <c r="L221" s="12" t="s">
        <v>54</v>
      </c>
      <c r="M221" s="9">
        <v>29</v>
      </c>
      <c r="N221" s="9" t="s">
        <v>55</v>
      </c>
      <c r="O221" s="9" t="s">
        <v>33</v>
      </c>
      <c r="P221" s="14" t="s">
        <v>96</v>
      </c>
      <c r="Q221" s="23">
        <v>15.8</v>
      </c>
      <c r="R221" s="94">
        <v>15.8</v>
      </c>
      <c r="S221" s="9">
        <v>8.3699999999999992</v>
      </c>
      <c r="T221" s="9">
        <v>8.3699999999999992</v>
      </c>
      <c r="U221" s="9">
        <v>6.3609999999999998</v>
      </c>
      <c r="V221" s="9">
        <v>0.94899999999999995</v>
      </c>
      <c r="W221" s="9">
        <v>66</v>
      </c>
      <c r="X221" s="9">
        <v>66</v>
      </c>
      <c r="Y221" s="9">
        <v>0.94899999999999995</v>
      </c>
      <c r="Z221" s="15">
        <f t="shared" si="298"/>
        <v>4.1349303568432507</v>
      </c>
      <c r="AA221" s="15">
        <f t="shared" si="312"/>
        <v>2.2849052696861194</v>
      </c>
      <c r="AC221" s="16">
        <f t="shared" si="299"/>
        <v>0.20796966871036979</v>
      </c>
      <c r="AD221" s="26">
        <f t="shared" si="300"/>
        <v>4.8083934844972802</v>
      </c>
      <c r="AE221" s="51">
        <v>25</v>
      </c>
      <c r="AF221" s="85" t="str">
        <f t="shared" si="301"/>
        <v>NOEC</v>
      </c>
      <c r="AG221" s="9">
        <f t="shared" si="302"/>
        <v>1</v>
      </c>
      <c r="AH221" s="18">
        <f t="shared" si="303"/>
        <v>2.2849052696861194</v>
      </c>
      <c r="AI221" s="88" t="str">
        <f t="shared" si="304"/>
        <v>Chronic</v>
      </c>
      <c r="AJ221" s="9">
        <f t="shared" si="305"/>
        <v>1</v>
      </c>
      <c r="AK221" s="18">
        <f t="shared" si="306"/>
        <v>2.2849052696861194</v>
      </c>
      <c r="AL221" s="16"/>
      <c r="AM221" s="127" t="str">
        <f t="shared" si="307"/>
        <v>NOEC</v>
      </c>
      <c r="AN221" s="128" t="s">
        <v>356</v>
      </c>
      <c r="AO221" s="129" t="str">
        <f t="shared" si="308"/>
        <v>Chronic</v>
      </c>
      <c r="AP221" s="128" t="str">
        <f t="shared" si="313"/>
        <v>y</v>
      </c>
      <c r="AQ221" s="130" t="str">
        <f t="shared" si="309"/>
        <v>Mortality (of juvenile Deleatidium sp.)</v>
      </c>
      <c r="AR221" s="128" t="s">
        <v>459</v>
      </c>
      <c r="AS221" s="131">
        <f t="shared" si="310"/>
        <v>29</v>
      </c>
      <c r="AT221" s="128" t="s">
        <v>460</v>
      </c>
      <c r="AU221" s="128"/>
      <c r="AV221" s="143">
        <f t="shared" si="311"/>
        <v>2.2849052696861194</v>
      </c>
      <c r="AW221" s="144">
        <f t="shared" ref="AW221:AW222" si="314">GEOMEAN(AV221:AV221)</f>
        <v>2.2849052696861194</v>
      </c>
      <c r="AX221" s="141">
        <f>MIN(AW221)</f>
        <v>2.2849052696861194</v>
      </c>
      <c r="AY221" s="142">
        <f>MIN(AX221:AX221)</f>
        <v>2.2849052696861194</v>
      </c>
    </row>
    <row r="222" spans="1:52" x14ac:dyDescent="0.2">
      <c r="A222" s="32" t="s">
        <v>97</v>
      </c>
      <c r="B222" s="44">
        <v>221</v>
      </c>
      <c r="C222" s="34" t="s">
        <v>24</v>
      </c>
      <c r="D222" s="35" t="s">
        <v>98</v>
      </c>
      <c r="E222" s="33" t="s">
        <v>61</v>
      </c>
      <c r="F222" s="33" t="s">
        <v>99</v>
      </c>
      <c r="G222" s="33" t="s">
        <v>93</v>
      </c>
      <c r="H222" s="33" t="s">
        <v>571</v>
      </c>
      <c r="I222" s="36" t="s">
        <v>100</v>
      </c>
      <c r="J222" s="36" t="s">
        <v>64</v>
      </c>
      <c r="K222" s="44" t="s">
        <v>101</v>
      </c>
      <c r="L222" s="36" t="s">
        <v>54</v>
      </c>
      <c r="M222" s="36">
        <v>10</v>
      </c>
      <c r="N222" s="33" t="s">
        <v>102</v>
      </c>
      <c r="O222" s="33" t="s">
        <v>33</v>
      </c>
      <c r="P222" s="45" t="s">
        <v>103</v>
      </c>
      <c r="Q222" s="44">
        <v>25</v>
      </c>
      <c r="R222" s="44">
        <v>25</v>
      </c>
      <c r="S222" s="33" t="s">
        <v>104</v>
      </c>
      <c r="T222" s="33">
        <v>8.0399999999999991</v>
      </c>
      <c r="U222" s="46">
        <v>5.8536524151080886</v>
      </c>
      <c r="V222" s="33">
        <v>2.5</v>
      </c>
      <c r="W222" s="33" t="s">
        <v>37</v>
      </c>
      <c r="X222" s="39">
        <f t="shared" ref="X222" si="315">(V222)*(U222/100)*1000</f>
        <v>146.3413103777022</v>
      </c>
      <c r="Y222" s="33">
        <v>2.5</v>
      </c>
      <c r="Z222" s="40">
        <f t="shared" si="298"/>
        <v>6.4367096033276967</v>
      </c>
      <c r="AA222" s="40">
        <f t="shared" si="312"/>
        <v>6.4367096033276976</v>
      </c>
      <c r="AC222" s="16">
        <f t="shared" si="299"/>
        <v>0.4446312674691093</v>
      </c>
      <c r="AD222" s="26">
        <f t="shared" si="300"/>
        <v>2.2490546058357781</v>
      </c>
      <c r="AE222" s="51">
        <v>25</v>
      </c>
      <c r="AF222" s="85" t="str">
        <f t="shared" si="301"/>
        <v>NOEC</v>
      </c>
      <c r="AG222" s="9">
        <f t="shared" si="302"/>
        <v>1</v>
      </c>
      <c r="AH222" s="18">
        <f t="shared" si="303"/>
        <v>6.4367096033276976</v>
      </c>
      <c r="AI222" s="88" t="str">
        <f t="shared" si="304"/>
        <v>Chronic</v>
      </c>
      <c r="AJ222" s="9">
        <f t="shared" si="305"/>
        <v>1</v>
      </c>
      <c r="AK222" s="18">
        <f t="shared" si="306"/>
        <v>6.4367096033276976</v>
      </c>
      <c r="AL222" s="16"/>
      <c r="AM222" s="101" t="str">
        <f t="shared" si="307"/>
        <v>NOEC</v>
      </c>
      <c r="AN222" s="102" t="s">
        <v>356</v>
      </c>
      <c r="AO222" s="103" t="str">
        <f t="shared" si="308"/>
        <v>Chronic</v>
      </c>
      <c r="AP222" s="102" t="str">
        <f t="shared" si="313"/>
        <v>y</v>
      </c>
      <c r="AQ222" s="104" t="str">
        <f t="shared" si="309"/>
        <v>Reproduction (average young per replicate)</v>
      </c>
      <c r="AR222" s="102" t="s">
        <v>459</v>
      </c>
      <c r="AS222" s="105">
        <f t="shared" si="310"/>
        <v>10</v>
      </c>
      <c r="AT222" s="102" t="s">
        <v>460</v>
      </c>
      <c r="AU222" s="102"/>
      <c r="AV222" s="106">
        <f t="shared" si="311"/>
        <v>6.4367096033276976</v>
      </c>
      <c r="AW222" s="118">
        <f t="shared" si="314"/>
        <v>6.4367096033276976</v>
      </c>
      <c r="AX222" s="73">
        <f>MIN(AW222:AW222)</f>
        <v>6.4367096033276976</v>
      </c>
      <c r="AY222" s="126">
        <f>MIN(AX222:AX222)</f>
        <v>6.4367096033276976</v>
      </c>
    </row>
    <row r="223" spans="1:52" x14ac:dyDescent="0.2">
      <c r="A223" s="19" t="s">
        <v>119</v>
      </c>
      <c r="B223" s="9">
        <v>235</v>
      </c>
      <c r="C223" s="10" t="s">
        <v>24</v>
      </c>
      <c r="D223" s="11" t="s">
        <v>120</v>
      </c>
      <c r="E223" s="9" t="s">
        <v>121</v>
      </c>
      <c r="F223" s="9" t="s">
        <v>122</v>
      </c>
      <c r="G223" s="9" t="s">
        <v>52</v>
      </c>
      <c r="H223" s="9" t="s">
        <v>571</v>
      </c>
      <c r="I223" s="12" t="s">
        <v>37</v>
      </c>
      <c r="J223" s="12" t="s">
        <v>123</v>
      </c>
      <c r="K223" s="12" t="s">
        <v>123</v>
      </c>
      <c r="L223" s="12" t="s">
        <v>54</v>
      </c>
      <c r="M223" s="12">
        <v>40</v>
      </c>
      <c r="N223" s="9" t="s">
        <v>55</v>
      </c>
      <c r="O223" s="13" t="s">
        <v>33</v>
      </c>
      <c r="P223" s="14" t="s">
        <v>56</v>
      </c>
      <c r="Q223" s="9" t="s">
        <v>438</v>
      </c>
      <c r="R223" s="9">
        <v>15.3</v>
      </c>
      <c r="S223" s="9" t="s">
        <v>124</v>
      </c>
      <c r="T223" s="9">
        <v>8.1</v>
      </c>
      <c r="U223" s="9">
        <v>3.3940000000000001</v>
      </c>
      <c r="V223" s="18">
        <v>2.1</v>
      </c>
      <c r="W223" s="9">
        <v>70</v>
      </c>
      <c r="X223" s="9">
        <v>70</v>
      </c>
      <c r="Y223" s="18">
        <v>2.1</v>
      </c>
      <c r="Z223" s="15">
        <f t="shared" si="298"/>
        <v>5.9178920071141139</v>
      </c>
      <c r="AA223" s="15">
        <f t="shared" si="312"/>
        <v>3.1664091777657584</v>
      </c>
      <c r="AC223" s="16">
        <f t="shared" si="299"/>
        <v>0.38725764492161724</v>
      </c>
      <c r="AD223" s="26">
        <f t="shared" si="300"/>
        <v>2.5822601906345959</v>
      </c>
      <c r="AE223" s="51">
        <v>25</v>
      </c>
      <c r="AF223" s="85" t="str">
        <f t="shared" si="301"/>
        <v>NOEC</v>
      </c>
      <c r="AG223" s="9">
        <f t="shared" si="302"/>
        <v>1</v>
      </c>
      <c r="AH223" s="18">
        <f t="shared" si="303"/>
        <v>3.1664091777657584</v>
      </c>
      <c r="AI223" s="88" t="str">
        <f t="shared" si="304"/>
        <v>Chronic</v>
      </c>
      <c r="AJ223" s="9">
        <f t="shared" si="305"/>
        <v>1</v>
      </c>
      <c r="AK223" s="18">
        <f t="shared" si="306"/>
        <v>3.1664091777657584</v>
      </c>
      <c r="AL223" s="16"/>
      <c r="AM223" s="127" t="str">
        <f t="shared" si="307"/>
        <v>NOEC</v>
      </c>
      <c r="AN223" s="128" t="s">
        <v>356</v>
      </c>
      <c r="AO223" s="129" t="str">
        <f t="shared" si="308"/>
        <v>Chronic</v>
      </c>
      <c r="AP223" s="128" t="str">
        <f t="shared" si="313"/>
        <v>y</v>
      </c>
      <c r="AQ223" s="130" t="str">
        <f t="shared" si="309"/>
        <v>Immobility</v>
      </c>
      <c r="AR223" s="128" t="s">
        <v>459</v>
      </c>
      <c r="AS223" s="131">
        <f t="shared" si="310"/>
        <v>40</v>
      </c>
      <c r="AT223" s="128" t="s">
        <v>460</v>
      </c>
      <c r="AU223" s="128"/>
      <c r="AV223" s="143">
        <f>AK223</f>
        <v>3.1664091777657584</v>
      </c>
      <c r="AW223" s="144">
        <f>GEOMEAN(AV223:AV223)</f>
        <v>3.1664091777657584</v>
      </c>
      <c r="AX223" s="148">
        <f>MIN(AW223)</f>
        <v>3.1664091777657584</v>
      </c>
      <c r="AY223" s="149">
        <f>MIN(AX223)</f>
        <v>3.1664091777657584</v>
      </c>
    </row>
    <row r="224" spans="1:52" x14ac:dyDescent="0.2">
      <c r="A224" s="32" t="s">
        <v>132</v>
      </c>
      <c r="B224" s="33">
        <v>254</v>
      </c>
      <c r="C224" s="34" t="s">
        <v>24</v>
      </c>
      <c r="D224" s="35" t="s">
        <v>126</v>
      </c>
      <c r="E224" s="33" t="s">
        <v>121</v>
      </c>
      <c r="F224" s="33" t="s">
        <v>127</v>
      </c>
      <c r="G224" s="33" t="s">
        <v>52</v>
      </c>
      <c r="H224" s="33" t="s">
        <v>571</v>
      </c>
      <c r="I224" s="36" t="s">
        <v>128</v>
      </c>
      <c r="J224" s="36" t="s">
        <v>53</v>
      </c>
      <c r="K224" s="36" t="s">
        <v>53</v>
      </c>
      <c r="L224" s="36" t="s">
        <v>133</v>
      </c>
      <c r="M224" s="36">
        <v>28</v>
      </c>
      <c r="N224" s="33" t="s">
        <v>55</v>
      </c>
      <c r="O224" s="37" t="s">
        <v>33</v>
      </c>
      <c r="P224" s="38" t="s">
        <v>129</v>
      </c>
      <c r="Q224" s="33" t="s">
        <v>130</v>
      </c>
      <c r="R224" s="33">
        <v>20</v>
      </c>
      <c r="S224" s="33" t="s">
        <v>131</v>
      </c>
      <c r="T224" s="33">
        <v>8.1999999999999993</v>
      </c>
      <c r="U224" s="33">
        <v>5.9020000000000001</v>
      </c>
      <c r="V224" s="33" t="s">
        <v>134</v>
      </c>
      <c r="W224" s="33" t="s">
        <v>37</v>
      </c>
      <c r="X224" s="33">
        <v>7.67</v>
      </c>
      <c r="Y224" s="33">
        <v>0.13</v>
      </c>
      <c r="Z224" s="40">
        <f t="shared" si="298"/>
        <v>0.4284575216169903</v>
      </c>
      <c r="AA224" s="40">
        <f t="shared" si="312"/>
        <v>0.3103900360239551</v>
      </c>
      <c r="AB224" t="s">
        <v>577</v>
      </c>
      <c r="AC224" s="16">
        <f t="shared" si="299"/>
        <v>0.30760968147407108</v>
      </c>
      <c r="AD224" s="26">
        <f t="shared" si="300"/>
        <v>3.2508729738543409</v>
      </c>
      <c r="AE224" s="51">
        <v>25</v>
      </c>
      <c r="AF224" s="85" t="str">
        <f t="shared" si="301"/>
        <v>IC10</v>
      </c>
      <c r="AG224" s="9">
        <f t="shared" si="302"/>
        <v>1</v>
      </c>
      <c r="AH224" s="18">
        <f t="shared" si="303"/>
        <v>0.3103900360239551</v>
      </c>
      <c r="AI224" s="88" t="str">
        <f t="shared" si="304"/>
        <v>Chronic</v>
      </c>
      <c r="AJ224" s="9">
        <f t="shared" si="305"/>
        <v>1</v>
      </c>
      <c r="AK224" s="18">
        <f t="shared" si="306"/>
        <v>0.3103900360239551</v>
      </c>
      <c r="AL224" s="16"/>
      <c r="AM224" s="132" t="str">
        <f t="shared" si="307"/>
        <v>IC10</v>
      </c>
      <c r="AN224" s="67" t="s">
        <v>356</v>
      </c>
      <c r="AO224" s="88" t="str">
        <f t="shared" si="308"/>
        <v>Chronic</v>
      </c>
      <c r="AP224" s="67" t="str">
        <f t="shared" si="313"/>
        <v>y</v>
      </c>
      <c r="AQ224" s="69" t="str">
        <f t="shared" si="309"/>
        <v>Mortality</v>
      </c>
      <c r="AR224" s="67" t="s">
        <v>459</v>
      </c>
      <c r="AS224" s="70">
        <f t="shared" si="310"/>
        <v>28</v>
      </c>
      <c r="AT224" s="67" t="s">
        <v>460</v>
      </c>
      <c r="AU224" s="67"/>
      <c r="AV224" s="151">
        <f>AK224</f>
        <v>0.3103900360239551</v>
      </c>
      <c r="AW224" s="95">
        <f>GEOMEAN(AV224:AV224)</f>
        <v>0.3103900360239551</v>
      </c>
      <c r="AX224" s="96">
        <f>MIN(AW224)</f>
        <v>0.3103900360239551</v>
      </c>
      <c r="AY224" s="153">
        <f>MIN(AX224)</f>
        <v>0.3103900360239551</v>
      </c>
    </row>
    <row r="225" spans="1:52" x14ac:dyDescent="0.2">
      <c r="A225" s="19" t="s">
        <v>144</v>
      </c>
      <c r="B225" s="9">
        <v>253</v>
      </c>
      <c r="C225" s="10" t="s">
        <v>24</v>
      </c>
      <c r="D225" s="11" t="s">
        <v>139</v>
      </c>
      <c r="E225" s="9" t="s">
        <v>121</v>
      </c>
      <c r="F225" s="9" t="s">
        <v>127</v>
      </c>
      <c r="G225" s="9" t="s">
        <v>52</v>
      </c>
      <c r="H225" s="9" t="s">
        <v>571</v>
      </c>
      <c r="I225" s="12" t="s">
        <v>140</v>
      </c>
      <c r="J225" s="12" t="s">
        <v>53</v>
      </c>
      <c r="K225" s="12" t="s">
        <v>53</v>
      </c>
      <c r="L225" s="12" t="s">
        <v>31</v>
      </c>
      <c r="M225" s="12">
        <v>28</v>
      </c>
      <c r="N225" s="9" t="s">
        <v>55</v>
      </c>
      <c r="O225" s="13" t="s">
        <v>33</v>
      </c>
      <c r="P225" s="14" t="s">
        <v>141</v>
      </c>
      <c r="Q225" s="9">
        <v>20</v>
      </c>
      <c r="R225" s="9">
        <v>20</v>
      </c>
      <c r="S225" s="9" t="s">
        <v>142</v>
      </c>
      <c r="T225" s="9">
        <v>8.26</v>
      </c>
      <c r="U225" s="9">
        <v>6.718</v>
      </c>
      <c r="V225" s="9">
        <v>0.54</v>
      </c>
      <c r="W225" s="9" t="s">
        <v>37</v>
      </c>
      <c r="X225" s="9">
        <v>36.299999999999997</v>
      </c>
      <c r="Y225" s="9">
        <v>0.54</v>
      </c>
      <c r="Z225" s="15">
        <f t="shared" si="298"/>
        <v>1.9610361754850452</v>
      </c>
      <c r="AA225" s="15">
        <f t="shared" si="312"/>
        <v>1.4206451245292953</v>
      </c>
      <c r="AC225" s="16">
        <f t="shared" si="299"/>
        <v>0.26791683248190312</v>
      </c>
      <c r="AD225" s="26">
        <f t="shared" si="300"/>
        <v>3.7325015779572066</v>
      </c>
      <c r="AE225" s="51">
        <v>25</v>
      </c>
      <c r="AF225" s="85" t="str">
        <f t="shared" si="301"/>
        <v>EC10</v>
      </c>
      <c r="AG225" s="9">
        <f t="shared" si="302"/>
        <v>1</v>
      </c>
      <c r="AH225" s="18">
        <f t="shared" si="303"/>
        <v>1.4206451245292953</v>
      </c>
      <c r="AI225" s="88" t="str">
        <f t="shared" si="304"/>
        <v>Chronic</v>
      </c>
      <c r="AJ225" s="9">
        <f t="shared" si="305"/>
        <v>1</v>
      </c>
      <c r="AK225" s="18">
        <f t="shared" si="306"/>
        <v>1.4206451245292953</v>
      </c>
      <c r="AM225" s="101" t="str">
        <f t="shared" si="307"/>
        <v>EC10</v>
      </c>
      <c r="AN225" s="102" t="s">
        <v>356</v>
      </c>
      <c r="AO225" s="103" t="str">
        <f t="shared" si="308"/>
        <v>Chronic</v>
      </c>
      <c r="AP225" s="102" t="str">
        <f t="shared" si="313"/>
        <v>y</v>
      </c>
      <c r="AQ225" s="104" t="str">
        <f t="shared" si="309"/>
        <v>Mortality</v>
      </c>
      <c r="AR225" s="196" t="s">
        <v>459</v>
      </c>
      <c r="AS225" s="105">
        <f t="shared" si="310"/>
        <v>28</v>
      </c>
      <c r="AT225" s="158" t="s">
        <v>460</v>
      </c>
      <c r="AU225" s="197"/>
      <c r="AV225" s="154">
        <f t="shared" ref="AV225:AV228" si="316">AK225</f>
        <v>1.4206451245292953</v>
      </c>
      <c r="AW225" s="155"/>
      <c r="AX225" s="197"/>
      <c r="AY225" s="198"/>
    </row>
    <row r="226" spans="1:52" x14ac:dyDescent="0.2">
      <c r="A226" s="19" t="s">
        <v>146</v>
      </c>
      <c r="B226" s="9">
        <v>254</v>
      </c>
      <c r="C226" s="10" t="s">
        <v>24</v>
      </c>
      <c r="D226" s="11" t="s">
        <v>139</v>
      </c>
      <c r="E226" s="9" t="s">
        <v>121</v>
      </c>
      <c r="F226" s="9" t="s">
        <v>127</v>
      </c>
      <c r="G226" s="9" t="s">
        <v>52</v>
      </c>
      <c r="H226" s="9" t="s">
        <v>571</v>
      </c>
      <c r="I226" s="12" t="s">
        <v>140</v>
      </c>
      <c r="J226" s="12" t="s">
        <v>53</v>
      </c>
      <c r="K226" s="12" t="s">
        <v>53</v>
      </c>
      <c r="L226" s="12" t="s">
        <v>133</v>
      </c>
      <c r="M226" s="12">
        <v>28</v>
      </c>
      <c r="N226" s="9" t="s">
        <v>55</v>
      </c>
      <c r="O226" s="13" t="s">
        <v>33</v>
      </c>
      <c r="P226" s="14" t="s">
        <v>129</v>
      </c>
      <c r="Q226" s="9" t="s">
        <v>130</v>
      </c>
      <c r="R226" s="9">
        <v>20</v>
      </c>
      <c r="S226" s="9" t="s">
        <v>131</v>
      </c>
      <c r="T226" s="9">
        <v>8.1999999999999993</v>
      </c>
      <c r="U226" s="9">
        <v>5.9020000000000001</v>
      </c>
      <c r="V226" s="9" t="s">
        <v>134</v>
      </c>
      <c r="W226" s="9" t="s">
        <v>37</v>
      </c>
      <c r="X226" s="9">
        <v>7.67</v>
      </c>
      <c r="Y226" s="9">
        <v>0.13</v>
      </c>
      <c r="Z226" s="15">
        <f t="shared" si="298"/>
        <v>0.4284575216169903</v>
      </c>
      <c r="AA226" s="15">
        <f t="shared" si="312"/>
        <v>0.3103900360239551</v>
      </c>
      <c r="AB226" t="s">
        <v>577</v>
      </c>
      <c r="AC226" s="16">
        <f t="shared" si="299"/>
        <v>0.30760968147407108</v>
      </c>
      <c r="AD226" s="26">
        <f t="shared" si="300"/>
        <v>3.2508729738543409</v>
      </c>
      <c r="AE226" s="51">
        <v>25</v>
      </c>
      <c r="AF226" s="85" t="str">
        <f t="shared" si="301"/>
        <v>IC10</v>
      </c>
      <c r="AG226" s="9">
        <f t="shared" si="302"/>
        <v>1</v>
      </c>
      <c r="AH226" s="18">
        <f t="shared" si="303"/>
        <v>0.3103900360239551</v>
      </c>
      <c r="AI226" s="88" t="str">
        <f t="shared" si="304"/>
        <v>Chronic</v>
      </c>
      <c r="AJ226" s="9">
        <f t="shared" si="305"/>
        <v>1</v>
      </c>
      <c r="AK226" s="18">
        <f t="shared" si="306"/>
        <v>0.3103900360239551</v>
      </c>
      <c r="AL226" s="16"/>
      <c r="AM226" s="110" t="str">
        <f t="shared" si="307"/>
        <v>IC10</v>
      </c>
      <c r="AN226" s="111" t="s">
        <v>356</v>
      </c>
      <c r="AO226" s="112" t="str">
        <f t="shared" si="308"/>
        <v>Chronic</v>
      </c>
      <c r="AP226" s="111" t="str">
        <f t="shared" si="313"/>
        <v>y</v>
      </c>
      <c r="AQ226" s="134" t="str">
        <f t="shared" si="309"/>
        <v>Mortality</v>
      </c>
      <c r="AR226" s="199" t="s">
        <v>459</v>
      </c>
      <c r="AS226" s="114">
        <f t="shared" si="310"/>
        <v>28</v>
      </c>
      <c r="AT226" s="199" t="s">
        <v>460</v>
      </c>
      <c r="AU226" s="200"/>
      <c r="AV226" s="152">
        <f t="shared" si="316"/>
        <v>0.3103900360239551</v>
      </c>
      <c r="AW226" s="116">
        <f>GEOMEAN(AV225:AV226)</f>
        <v>0.6640437420681744</v>
      </c>
      <c r="AX226" s="117">
        <f>MIN(AW226)</f>
        <v>0.6640437420681744</v>
      </c>
      <c r="AY226" s="125">
        <f>MIN(AX226:AX226)</f>
        <v>0.6640437420681744</v>
      </c>
    </row>
    <row r="227" spans="1:52" x14ac:dyDescent="0.2">
      <c r="A227" s="32" t="s">
        <v>148</v>
      </c>
      <c r="B227" s="33">
        <v>256</v>
      </c>
      <c r="C227" s="38" t="s">
        <v>24</v>
      </c>
      <c r="D227" s="35" t="s">
        <v>149</v>
      </c>
      <c r="E227" s="33" t="s">
        <v>121</v>
      </c>
      <c r="F227" s="33" t="s">
        <v>127</v>
      </c>
      <c r="G227" s="33" t="s">
        <v>52</v>
      </c>
      <c r="H227" s="33" t="s">
        <v>571</v>
      </c>
      <c r="I227" s="33" t="s">
        <v>37</v>
      </c>
      <c r="J227" s="36" t="s">
        <v>53</v>
      </c>
      <c r="K227" s="36" t="s">
        <v>53</v>
      </c>
      <c r="L227" s="36" t="s">
        <v>54</v>
      </c>
      <c r="M227" s="36">
        <v>6</v>
      </c>
      <c r="N227" s="33" t="s">
        <v>102</v>
      </c>
      <c r="O227" s="37" t="s">
        <v>33</v>
      </c>
      <c r="P227" s="38" t="s">
        <v>150</v>
      </c>
      <c r="Q227" s="33" t="s">
        <v>151</v>
      </c>
      <c r="R227" s="33">
        <v>21.8</v>
      </c>
      <c r="S227" s="33" t="s">
        <v>152</v>
      </c>
      <c r="T227" s="33">
        <v>7.8</v>
      </c>
      <c r="U227" s="33">
        <v>2.7679999999999998</v>
      </c>
      <c r="V227" s="33" t="s">
        <v>37</v>
      </c>
      <c r="W227" s="33">
        <v>30</v>
      </c>
      <c r="X227" s="33">
        <v>30</v>
      </c>
      <c r="Y227" s="40">
        <f t="shared" ref="Y227" si="317">X227/((U227/100)*1000)</f>
        <v>1.0838150289017343</v>
      </c>
      <c r="Z227" s="40">
        <f t="shared" si="298"/>
        <v>2.0127302212112239</v>
      </c>
      <c r="AA227" s="40">
        <f t="shared" si="312"/>
        <v>1.6375160582900676</v>
      </c>
      <c r="AB227" s="16"/>
      <c r="AC227" s="16">
        <f t="shared" si="299"/>
        <v>0.77268058509570214</v>
      </c>
      <c r="AD227" s="26">
        <f t="shared" si="300"/>
        <v>1.2941958414499863</v>
      </c>
      <c r="AE227" s="51">
        <v>25</v>
      </c>
      <c r="AF227" s="85" t="str">
        <f t="shared" si="301"/>
        <v>NOEC</v>
      </c>
      <c r="AG227" s="9">
        <f t="shared" si="302"/>
        <v>1</v>
      </c>
      <c r="AH227" s="18">
        <f t="shared" si="303"/>
        <v>1.6375160582900676</v>
      </c>
      <c r="AI227" s="88" t="str">
        <f t="shared" si="304"/>
        <v>Chronic</v>
      </c>
      <c r="AJ227" s="9">
        <f t="shared" si="305"/>
        <v>1</v>
      </c>
      <c r="AK227" s="18">
        <f t="shared" si="306"/>
        <v>1.6375160582900676</v>
      </c>
      <c r="AL227" s="16"/>
      <c r="AM227" s="101" t="str">
        <f t="shared" si="307"/>
        <v>NOEC</v>
      </c>
      <c r="AN227" s="102" t="s">
        <v>356</v>
      </c>
      <c r="AO227" s="103" t="str">
        <f t="shared" si="308"/>
        <v>Chronic</v>
      </c>
      <c r="AP227" s="102" t="str">
        <f t="shared" si="313"/>
        <v>y</v>
      </c>
      <c r="AQ227" s="104" t="str">
        <f t="shared" si="309"/>
        <v>Mortality</v>
      </c>
      <c r="AR227" s="102" t="s">
        <v>459</v>
      </c>
      <c r="AS227" s="105">
        <f t="shared" si="310"/>
        <v>6</v>
      </c>
      <c r="AT227" s="102" t="s">
        <v>460</v>
      </c>
      <c r="AU227" s="102"/>
      <c r="AV227" s="154">
        <f t="shared" si="316"/>
        <v>1.6375160582900676</v>
      </c>
      <c r="AW227" s="118">
        <f>GEOMEAN(AV227)</f>
        <v>1.6375160582900676</v>
      </c>
      <c r="AX227" s="119">
        <f>MIN(AW227:AW227)</f>
        <v>1.6375160582900676</v>
      </c>
      <c r="AY227" s="126">
        <f>MIN(AX227)</f>
        <v>1.6375160582900676</v>
      </c>
    </row>
    <row r="228" spans="1:52" x14ac:dyDescent="0.2">
      <c r="A228" s="8" t="s">
        <v>168</v>
      </c>
      <c r="B228" s="9">
        <v>242</v>
      </c>
      <c r="C228" s="10" t="s">
        <v>24</v>
      </c>
      <c r="D228" s="11" t="s">
        <v>155</v>
      </c>
      <c r="E228" s="9" t="s">
        <v>121</v>
      </c>
      <c r="F228" s="9" t="s">
        <v>127</v>
      </c>
      <c r="G228" s="9" t="s">
        <v>52</v>
      </c>
      <c r="H228" s="9" t="s">
        <v>571</v>
      </c>
      <c r="I228" s="12" t="s">
        <v>156</v>
      </c>
      <c r="J228" s="12" t="s">
        <v>136</v>
      </c>
      <c r="K228" s="12" t="s">
        <v>169</v>
      </c>
      <c r="L228" s="12" t="s">
        <v>54</v>
      </c>
      <c r="M228" s="12">
        <v>60</v>
      </c>
      <c r="N228" s="9" t="s">
        <v>55</v>
      </c>
      <c r="O228" s="13" t="s">
        <v>33</v>
      </c>
      <c r="P228" s="14" t="s">
        <v>157</v>
      </c>
      <c r="Q228" s="9">
        <v>20</v>
      </c>
      <c r="R228" s="9">
        <v>20</v>
      </c>
      <c r="S228" s="28" t="s">
        <v>158</v>
      </c>
      <c r="T228" s="28">
        <v>7.73</v>
      </c>
      <c r="U228" s="26" t="s">
        <v>170</v>
      </c>
      <c r="V228" s="9">
        <v>0.65</v>
      </c>
      <c r="W228" s="9">
        <v>12</v>
      </c>
      <c r="X228" s="9">
        <v>12</v>
      </c>
      <c r="Y228" s="9">
        <v>0.65</v>
      </c>
      <c r="Z228" s="15">
        <f t="shared" si="298"/>
        <v>1.1105489745328638</v>
      </c>
      <c r="AA228" s="15">
        <f t="shared" si="312"/>
        <v>0.80452161257601096</v>
      </c>
      <c r="AC228" s="16">
        <f t="shared" si="299"/>
        <v>0.90782053017818432</v>
      </c>
      <c r="AD228" s="26">
        <f t="shared" si="300"/>
        <v>1.1015393095414168</v>
      </c>
      <c r="AE228" s="51">
        <v>25</v>
      </c>
      <c r="AF228" s="85" t="str">
        <f t="shared" si="301"/>
        <v>NOEC</v>
      </c>
      <c r="AG228" s="9">
        <f t="shared" si="302"/>
        <v>1</v>
      </c>
      <c r="AH228" s="18">
        <f t="shared" si="303"/>
        <v>0.80452161257601096</v>
      </c>
      <c r="AI228" s="88" t="str">
        <f t="shared" si="304"/>
        <v>Chronic</v>
      </c>
      <c r="AJ228" s="9">
        <f t="shared" si="305"/>
        <v>1</v>
      </c>
      <c r="AK228" s="18">
        <f t="shared" si="306"/>
        <v>0.80452161257601096</v>
      </c>
      <c r="AL228" s="16"/>
      <c r="AM228" s="110" t="str">
        <f t="shared" si="307"/>
        <v>NOEC</v>
      </c>
      <c r="AN228" s="111" t="s">
        <v>356</v>
      </c>
      <c r="AO228" s="112" t="str">
        <f t="shared" si="308"/>
        <v>Chronic</v>
      </c>
      <c r="AP228" s="111" t="str">
        <f t="shared" si="313"/>
        <v>y</v>
      </c>
      <c r="AQ228" s="134" t="str">
        <f t="shared" si="309"/>
        <v>Length</v>
      </c>
      <c r="AR228" s="111" t="s">
        <v>475</v>
      </c>
      <c r="AS228" s="114">
        <f t="shared" si="310"/>
        <v>60</v>
      </c>
      <c r="AT228" s="111" t="s">
        <v>476</v>
      </c>
      <c r="AU228" s="111"/>
      <c r="AV228" s="152">
        <f t="shared" si="316"/>
        <v>0.80452161257601096</v>
      </c>
      <c r="AW228" s="116">
        <f>GEOMEAN(AV228)</f>
        <v>0.80452161257601096</v>
      </c>
      <c r="AX228" s="117">
        <f>MIN(AW228)</f>
        <v>0.80452161257601096</v>
      </c>
      <c r="AY228" s="125">
        <f>MIN(AX228:AX228)</f>
        <v>0.80452161257601096</v>
      </c>
    </row>
    <row r="229" spans="1:52" x14ac:dyDescent="0.2">
      <c r="A229" s="32" t="s">
        <v>176</v>
      </c>
      <c r="B229" s="33">
        <v>254</v>
      </c>
      <c r="C229" s="34" t="s">
        <v>24</v>
      </c>
      <c r="D229" s="35" t="s">
        <v>172</v>
      </c>
      <c r="E229" s="33" t="s">
        <v>121</v>
      </c>
      <c r="F229" s="33" t="s">
        <v>127</v>
      </c>
      <c r="G229" s="33" t="s">
        <v>52</v>
      </c>
      <c r="H229" s="33" t="s">
        <v>571</v>
      </c>
      <c r="I229" s="36" t="s">
        <v>128</v>
      </c>
      <c r="J229" s="36" t="s">
        <v>177</v>
      </c>
      <c r="K229" s="36" t="s">
        <v>137</v>
      </c>
      <c r="L229" s="36" t="s">
        <v>133</v>
      </c>
      <c r="M229" s="36">
        <v>28</v>
      </c>
      <c r="N229" s="33" t="s">
        <v>55</v>
      </c>
      <c r="O229" s="37" t="s">
        <v>33</v>
      </c>
      <c r="P229" s="38" t="s">
        <v>129</v>
      </c>
      <c r="Q229" s="33" t="s">
        <v>130</v>
      </c>
      <c r="R229" s="33">
        <v>20</v>
      </c>
      <c r="S229" s="33" t="s">
        <v>131</v>
      </c>
      <c r="T229" s="33">
        <v>8.1999999999999993</v>
      </c>
      <c r="U229" s="33">
        <v>5.9020000000000001</v>
      </c>
      <c r="V229" s="33" t="s">
        <v>175</v>
      </c>
      <c r="W229" s="33" t="s">
        <v>37</v>
      </c>
      <c r="X229" s="33">
        <v>23.6</v>
      </c>
      <c r="Y229" s="33">
        <v>0.4</v>
      </c>
      <c r="Z229" s="40">
        <f t="shared" si="298"/>
        <v>1.3183308357445855</v>
      </c>
      <c r="AA229" s="40">
        <f t="shared" si="312"/>
        <v>0.95504626468909271</v>
      </c>
      <c r="AB229" t="s">
        <v>577</v>
      </c>
      <c r="AC229" s="16">
        <f t="shared" si="299"/>
        <v>0.30760968147407108</v>
      </c>
      <c r="AD229" s="26">
        <f t="shared" si="300"/>
        <v>3.2508729738543409</v>
      </c>
      <c r="AE229" s="51">
        <v>25</v>
      </c>
      <c r="AF229" s="85" t="str">
        <f t="shared" si="301"/>
        <v>IC10</v>
      </c>
      <c r="AG229" s="9">
        <f t="shared" si="302"/>
        <v>1</v>
      </c>
      <c r="AH229" s="18">
        <f t="shared" si="303"/>
        <v>0.95504626468909271</v>
      </c>
      <c r="AI229" s="88" t="str">
        <f t="shared" si="304"/>
        <v>Chronic</v>
      </c>
      <c r="AJ229" s="9">
        <f t="shared" si="305"/>
        <v>1</v>
      </c>
      <c r="AK229" s="18">
        <f t="shared" si="306"/>
        <v>0.95504626468909271</v>
      </c>
      <c r="AL229" s="16"/>
      <c r="AM229" s="110" t="str">
        <f t="shared" si="307"/>
        <v>IC10</v>
      </c>
      <c r="AN229" s="111" t="s">
        <v>356</v>
      </c>
      <c r="AO229" s="112" t="str">
        <f t="shared" si="308"/>
        <v>Chronic</v>
      </c>
      <c r="AP229" s="111" t="str">
        <f t="shared" si="313"/>
        <v>y</v>
      </c>
      <c r="AQ229" s="134" t="str">
        <f t="shared" si="309"/>
        <v>Shell length</v>
      </c>
      <c r="AR229" s="111" t="s">
        <v>473</v>
      </c>
      <c r="AS229" s="114">
        <f t="shared" si="310"/>
        <v>28</v>
      </c>
      <c r="AT229" s="111" t="s">
        <v>474</v>
      </c>
      <c r="AU229" s="111"/>
      <c r="AV229" s="152">
        <f>AK229</f>
        <v>0.95504626468909271</v>
      </c>
      <c r="AW229" s="140">
        <f>GEOMEAN(AV229)</f>
        <v>0.95504626468909271</v>
      </c>
      <c r="AX229" s="141">
        <f>MIN(AW229)</f>
        <v>0.95504626468909271</v>
      </c>
      <c r="AY229" s="142">
        <f>MIN(AX229:AX229)</f>
        <v>0.95504626468909271</v>
      </c>
    </row>
    <row r="230" spans="1:52" x14ac:dyDescent="0.2">
      <c r="A230" s="193" t="s">
        <v>613</v>
      </c>
    </row>
    <row r="231" spans="1:52" x14ac:dyDescent="0.2">
      <c r="A231" s="32" t="s">
        <v>48</v>
      </c>
      <c r="B231" s="33">
        <v>236</v>
      </c>
      <c r="C231" s="34" t="s">
        <v>24</v>
      </c>
      <c r="D231" s="35" t="s">
        <v>49</v>
      </c>
      <c r="E231" s="33" t="s">
        <v>50</v>
      </c>
      <c r="F231" s="33" t="s">
        <v>51</v>
      </c>
      <c r="G231" s="33" t="s">
        <v>52</v>
      </c>
      <c r="H231" s="33" t="s">
        <v>571</v>
      </c>
      <c r="I231" s="36" t="s">
        <v>37</v>
      </c>
      <c r="J231" s="36" t="s">
        <v>53</v>
      </c>
      <c r="K231" s="36" t="s">
        <v>53</v>
      </c>
      <c r="L231" s="36" t="s">
        <v>54</v>
      </c>
      <c r="M231" s="36">
        <v>30</v>
      </c>
      <c r="N231" s="33" t="s">
        <v>55</v>
      </c>
      <c r="O231" s="37" t="s">
        <v>33</v>
      </c>
      <c r="P231" s="38" t="s">
        <v>56</v>
      </c>
      <c r="Q231" s="33" t="s">
        <v>57</v>
      </c>
      <c r="R231" s="40">
        <v>15.1</v>
      </c>
      <c r="S231" s="33" t="s">
        <v>58</v>
      </c>
      <c r="T231" s="33">
        <v>8.11</v>
      </c>
      <c r="U231" s="33">
        <v>3.42</v>
      </c>
      <c r="V231" s="33" t="s">
        <v>37</v>
      </c>
      <c r="W231" s="33">
        <v>20</v>
      </c>
      <c r="X231" s="40">
        <v>20</v>
      </c>
      <c r="Y231" s="40">
        <f t="shared" ref="Y231:Y235" si="318">X231/((U231/100)*1000)</f>
        <v>0.58479532163742687</v>
      </c>
      <c r="Z231" s="40">
        <f t="shared" ref="Z231:Z244" si="319">Y231/((0.0278/(1+AC231))+(1.1994/(1+AD231)))</f>
        <v>1.6734482467670493</v>
      </c>
      <c r="AA231" s="40">
        <f>POWER(10,LOG(Z231)-(-0.028*(R231-AE231)))</f>
        <v>0.82872852168446742</v>
      </c>
      <c r="AC231" s="16">
        <f t="shared" ref="AC231:AC244" si="320">POWER(10,7.688-T231)</f>
        <v>0.37844258471709358</v>
      </c>
      <c r="AD231" s="26">
        <f t="shared" ref="AD231:AD244" si="321">POWER(10,T231-7.688)</f>
        <v>2.6424087573219448</v>
      </c>
      <c r="AE231" s="51">
        <v>26</v>
      </c>
      <c r="AF231" s="85" t="str">
        <f t="shared" ref="AF231:AF244" si="322">L231</f>
        <v>NOEC</v>
      </c>
      <c r="AG231" s="9">
        <f t="shared" ref="AG231:AG244" si="323">VLOOKUP(AF231,$BD$6:$BE$17,2,FALSE)</f>
        <v>1</v>
      </c>
      <c r="AH231" s="18">
        <f t="shared" ref="AH231:AH244" si="324">AA231/AG231</f>
        <v>0.82872852168446742</v>
      </c>
      <c r="AI231" s="88" t="str">
        <f t="shared" ref="AI231:AI244" si="325">O231</f>
        <v>Chronic</v>
      </c>
      <c r="AJ231" s="9">
        <f t="shared" ref="AJ231:AJ244" si="326">VLOOKUP(AI231,$BD$19:$BF$20,2,FALSE)</f>
        <v>1</v>
      </c>
      <c r="AK231" s="18">
        <f t="shared" ref="AK231:AK244" si="327">AH231/AJ231</f>
        <v>0.82872852168446742</v>
      </c>
      <c r="AL231" s="16"/>
      <c r="AM231" s="127" t="str">
        <f t="shared" ref="AM231:AM244" si="328">L231</f>
        <v>NOEC</v>
      </c>
      <c r="AN231" s="128" t="s">
        <v>356</v>
      </c>
      <c r="AO231" s="129" t="str">
        <f t="shared" ref="AO231:AO244" si="329">O231</f>
        <v>Chronic</v>
      </c>
      <c r="AP231" s="128" t="str">
        <f>IF(AO231="chronic","y","n")</f>
        <v>y</v>
      </c>
      <c r="AQ231" s="130" t="str">
        <f t="shared" ref="AQ231:AQ244" si="330">K231</f>
        <v>Mortality</v>
      </c>
      <c r="AR231" s="128" t="s">
        <v>459</v>
      </c>
      <c r="AS231" s="131">
        <f t="shared" ref="AS231:AS244" si="331">M231</f>
        <v>30</v>
      </c>
      <c r="AT231" s="128" t="s">
        <v>460</v>
      </c>
      <c r="AU231" s="128"/>
      <c r="AV231" s="189">
        <f t="shared" ref="AV231:AV237" si="332">AK231</f>
        <v>0.82872852168446742</v>
      </c>
      <c r="AW231" s="190">
        <f>GEOMEAN(AV231)</f>
        <v>0.82872852168446742</v>
      </c>
      <c r="AX231" s="191">
        <f>MIN(AW231)</f>
        <v>0.82872852168446742</v>
      </c>
      <c r="AY231" s="192">
        <f>MIN(AX231)</f>
        <v>0.82872852168446742</v>
      </c>
      <c r="AZ231" s="206" t="str">
        <f>A230</f>
        <v>26°C</v>
      </c>
    </row>
    <row r="232" spans="1:52" x14ac:dyDescent="0.2">
      <c r="A232" s="19" t="s">
        <v>59</v>
      </c>
      <c r="B232" s="9">
        <v>245</v>
      </c>
      <c r="C232" s="10" t="s">
        <v>24</v>
      </c>
      <c r="D232" s="11" t="s">
        <v>60</v>
      </c>
      <c r="E232" s="20" t="s">
        <v>61</v>
      </c>
      <c r="F232" s="9" t="s">
        <v>62</v>
      </c>
      <c r="G232" s="9" t="s">
        <v>52</v>
      </c>
      <c r="H232" s="9" t="s">
        <v>571</v>
      </c>
      <c r="I232" s="12" t="s">
        <v>63</v>
      </c>
      <c r="J232" s="12" t="s">
        <v>64</v>
      </c>
      <c r="K232" s="12" t="s">
        <v>64</v>
      </c>
      <c r="L232" s="12" t="s">
        <v>54</v>
      </c>
      <c r="M232" s="12">
        <v>7</v>
      </c>
      <c r="N232" s="9" t="s">
        <v>55</v>
      </c>
      <c r="O232" s="21" t="s">
        <v>33</v>
      </c>
      <c r="P232" s="14" t="s">
        <v>65</v>
      </c>
      <c r="Q232" s="9">
        <v>25</v>
      </c>
      <c r="R232" s="9">
        <v>25</v>
      </c>
      <c r="S232" s="22">
        <v>8</v>
      </c>
      <c r="T232" s="22">
        <v>8</v>
      </c>
      <c r="U232" s="20">
        <v>5.3659999999999997</v>
      </c>
      <c r="V232" s="20" t="s">
        <v>37</v>
      </c>
      <c r="W232" s="20">
        <v>680</v>
      </c>
      <c r="X232" s="9">
        <v>680</v>
      </c>
      <c r="Y232" s="27">
        <f t="shared" si="318"/>
        <v>12.672381662318301</v>
      </c>
      <c r="Z232" s="15">
        <f t="shared" si="319"/>
        <v>30.774279778328605</v>
      </c>
      <c r="AA232" s="15">
        <f t="shared" ref="AA232:AA244" si="333">POWER(10,LOG(Z232)-(-0.028*(R232-AE232)))</f>
        <v>28.852795510668301</v>
      </c>
      <c r="AC232" s="16">
        <f t="shared" si="320"/>
        <v>0.48752849010338595</v>
      </c>
      <c r="AD232" s="26">
        <f t="shared" si="321"/>
        <v>2.051162178825567</v>
      </c>
      <c r="AE232" s="51">
        <v>26</v>
      </c>
      <c r="AF232" s="85" t="str">
        <f t="shared" si="322"/>
        <v>NOEC</v>
      </c>
      <c r="AG232" s="9">
        <f t="shared" si="323"/>
        <v>1</v>
      </c>
      <c r="AH232" s="18">
        <f t="shared" si="324"/>
        <v>28.852795510668301</v>
      </c>
      <c r="AI232" s="88" t="str">
        <f t="shared" si="325"/>
        <v>Chronic</v>
      </c>
      <c r="AJ232" s="9">
        <f t="shared" si="326"/>
        <v>1</v>
      </c>
      <c r="AK232" s="18">
        <f t="shared" si="327"/>
        <v>28.852795510668301</v>
      </c>
      <c r="AL232" s="16"/>
      <c r="AM232" s="101" t="str">
        <f t="shared" si="328"/>
        <v>NOEC</v>
      </c>
      <c r="AN232" s="102" t="s">
        <v>356</v>
      </c>
      <c r="AO232" s="103" t="str">
        <f t="shared" si="329"/>
        <v>Chronic</v>
      </c>
      <c r="AP232" s="102" t="str">
        <f t="shared" ref="AP232:AP244" si="334">IF(AO232="chronic","y","n")</f>
        <v>y</v>
      </c>
      <c r="AQ232" s="104" t="str">
        <f t="shared" si="330"/>
        <v>Reproduction</v>
      </c>
      <c r="AR232" s="102" t="s">
        <v>459</v>
      </c>
      <c r="AS232" s="105">
        <f t="shared" si="331"/>
        <v>7</v>
      </c>
      <c r="AT232" s="102" t="s">
        <v>460</v>
      </c>
      <c r="AU232" s="102"/>
      <c r="AV232" s="106">
        <f t="shared" si="332"/>
        <v>28.852795510668301</v>
      </c>
      <c r="AW232" s="107">
        <f>GEOMEAN(AV232:AV232)</f>
        <v>28.852795510668301</v>
      </c>
      <c r="AX232" s="108">
        <f>MIN(AW232:AW232)</f>
        <v>28.852795510668301</v>
      </c>
      <c r="AY232" s="109">
        <f>MIN(AX232)</f>
        <v>28.852795510668301</v>
      </c>
    </row>
    <row r="233" spans="1:52" x14ac:dyDescent="0.2">
      <c r="A233" s="32" t="s">
        <v>82</v>
      </c>
      <c r="B233" s="33">
        <v>240</v>
      </c>
      <c r="C233" s="34" t="s">
        <v>24</v>
      </c>
      <c r="D233" s="35" t="s">
        <v>77</v>
      </c>
      <c r="E233" s="33" t="s">
        <v>61</v>
      </c>
      <c r="F233" s="33" t="s">
        <v>62</v>
      </c>
      <c r="G233" s="33" t="s">
        <v>52</v>
      </c>
      <c r="H233" s="33" t="s">
        <v>571</v>
      </c>
      <c r="I233" s="36" t="s">
        <v>78</v>
      </c>
      <c r="J233" s="36" t="s">
        <v>83</v>
      </c>
      <c r="K233" s="36" t="s">
        <v>84</v>
      </c>
      <c r="L233" s="36" t="s">
        <v>54</v>
      </c>
      <c r="M233" s="36">
        <v>21</v>
      </c>
      <c r="N233" s="33" t="s">
        <v>55</v>
      </c>
      <c r="O233" s="37" t="s">
        <v>33</v>
      </c>
      <c r="P233" s="38" t="s">
        <v>79</v>
      </c>
      <c r="Q233" s="33" t="s">
        <v>80</v>
      </c>
      <c r="R233" s="40">
        <v>19.8</v>
      </c>
      <c r="S233" s="33" t="s">
        <v>81</v>
      </c>
      <c r="T233" s="33">
        <v>8.4499999999999993</v>
      </c>
      <c r="U233" s="33">
        <v>9.9039999999999999</v>
      </c>
      <c r="V233" s="44" t="s">
        <v>37</v>
      </c>
      <c r="W233" s="44" t="s">
        <v>37</v>
      </c>
      <c r="X233" s="33">
        <v>420</v>
      </c>
      <c r="Y233" s="40">
        <f t="shared" si="318"/>
        <v>4.2407108239095308</v>
      </c>
      <c r="Z233" s="40">
        <f t="shared" si="319"/>
        <v>21.142464693435951</v>
      </c>
      <c r="AA233" s="40">
        <f t="shared" si="333"/>
        <v>14.176062328225303</v>
      </c>
      <c r="AC233" s="16">
        <f t="shared" si="320"/>
        <v>0.17298163592151028</v>
      </c>
      <c r="AD233" s="26">
        <f t="shared" si="321"/>
        <v>5.7809604740571769</v>
      </c>
      <c r="AE233" s="51">
        <v>26</v>
      </c>
      <c r="AF233" s="85" t="str">
        <f t="shared" si="322"/>
        <v>NOEC</v>
      </c>
      <c r="AG233" s="9">
        <f t="shared" si="323"/>
        <v>1</v>
      </c>
      <c r="AH233" s="18">
        <f t="shared" si="324"/>
        <v>14.176062328225303</v>
      </c>
      <c r="AI233" s="88" t="str">
        <f t="shared" si="325"/>
        <v>Chronic</v>
      </c>
      <c r="AJ233" s="9">
        <f t="shared" si="326"/>
        <v>1</v>
      </c>
      <c r="AK233" s="18">
        <f t="shared" si="327"/>
        <v>14.176062328225303</v>
      </c>
      <c r="AL233" s="16"/>
      <c r="AM233" s="101" t="str">
        <f t="shared" si="328"/>
        <v>NOEC</v>
      </c>
      <c r="AN233" s="102" t="s">
        <v>356</v>
      </c>
      <c r="AO233" s="103" t="str">
        <f t="shared" si="329"/>
        <v>Chronic</v>
      </c>
      <c r="AP233" s="102" t="str">
        <f t="shared" si="334"/>
        <v>y</v>
      </c>
      <c r="AQ233" s="104" t="str">
        <f t="shared" si="330"/>
        <v>Mean total young/daphnid</v>
      </c>
      <c r="AR233" s="102" t="s">
        <v>459</v>
      </c>
      <c r="AS233" s="105">
        <f t="shared" si="331"/>
        <v>21</v>
      </c>
      <c r="AT233" s="102" t="s">
        <v>460</v>
      </c>
      <c r="AU233" s="102"/>
      <c r="AV233" s="147">
        <f t="shared" si="332"/>
        <v>14.176062328225303</v>
      </c>
      <c r="AW233" s="107">
        <f>GEOMEAN(AV233:AV233)</f>
        <v>14.176062328225303</v>
      </c>
      <c r="AX233" s="108">
        <f>MIN(AW233)</f>
        <v>14.176062328225303</v>
      </c>
      <c r="AY233" s="109"/>
    </row>
    <row r="234" spans="1:52" x14ac:dyDescent="0.2">
      <c r="A234" s="32" t="s">
        <v>87</v>
      </c>
      <c r="B234" s="33">
        <v>240</v>
      </c>
      <c r="C234" s="34" t="s">
        <v>24</v>
      </c>
      <c r="D234" s="35" t="s">
        <v>77</v>
      </c>
      <c r="E234" s="33" t="s">
        <v>61</v>
      </c>
      <c r="F234" s="33" t="s">
        <v>62</v>
      </c>
      <c r="G234" s="33" t="s">
        <v>52</v>
      </c>
      <c r="H234" s="33" t="s">
        <v>571</v>
      </c>
      <c r="I234" s="36" t="s">
        <v>78</v>
      </c>
      <c r="J234" s="36" t="s">
        <v>83</v>
      </c>
      <c r="K234" s="36" t="s">
        <v>88</v>
      </c>
      <c r="L234" s="36" t="s">
        <v>54</v>
      </c>
      <c r="M234" s="36">
        <v>21</v>
      </c>
      <c r="N234" s="33" t="s">
        <v>55</v>
      </c>
      <c r="O234" s="37" t="s">
        <v>33</v>
      </c>
      <c r="P234" s="38" t="s">
        <v>79</v>
      </c>
      <c r="Q234" s="33" t="s">
        <v>80</v>
      </c>
      <c r="R234" s="40">
        <v>19.8</v>
      </c>
      <c r="S234" s="33" t="s">
        <v>81</v>
      </c>
      <c r="T234" s="33">
        <v>8.4499999999999993</v>
      </c>
      <c r="U234" s="33">
        <v>9.9039999999999999</v>
      </c>
      <c r="V234" s="44" t="s">
        <v>37</v>
      </c>
      <c r="W234" s="44" t="s">
        <v>37</v>
      </c>
      <c r="X234" s="33">
        <v>420</v>
      </c>
      <c r="Y234" s="40">
        <f t="shared" si="318"/>
        <v>4.2407108239095308</v>
      </c>
      <c r="Z234" s="40">
        <f t="shared" si="319"/>
        <v>21.142464693435951</v>
      </c>
      <c r="AA234" s="40">
        <f t="shared" si="333"/>
        <v>14.176062328225303</v>
      </c>
      <c r="AC234" s="16">
        <f t="shared" si="320"/>
        <v>0.17298163592151028</v>
      </c>
      <c r="AD234" s="26">
        <f t="shared" si="321"/>
        <v>5.7809604740571769</v>
      </c>
      <c r="AE234" s="51">
        <v>26</v>
      </c>
      <c r="AF234" s="85" t="str">
        <f t="shared" si="322"/>
        <v>NOEC</v>
      </c>
      <c r="AG234" s="9">
        <f t="shared" si="323"/>
        <v>1</v>
      </c>
      <c r="AH234" s="18">
        <f t="shared" si="324"/>
        <v>14.176062328225303</v>
      </c>
      <c r="AI234" s="88" t="str">
        <f t="shared" si="325"/>
        <v>Chronic</v>
      </c>
      <c r="AJ234" s="9">
        <f t="shared" si="326"/>
        <v>1</v>
      </c>
      <c r="AK234" s="18">
        <f t="shared" si="327"/>
        <v>14.176062328225303</v>
      </c>
      <c r="AL234" s="16"/>
      <c r="AM234" s="132" t="str">
        <f t="shared" si="328"/>
        <v>NOEC</v>
      </c>
      <c r="AN234" s="67" t="s">
        <v>356</v>
      </c>
      <c r="AO234" s="88" t="str">
        <f t="shared" si="329"/>
        <v>Chronic</v>
      </c>
      <c r="AP234" s="67" t="str">
        <f t="shared" si="334"/>
        <v>y</v>
      </c>
      <c r="AQ234" s="69" t="str">
        <f t="shared" si="330"/>
        <v>Mean brood size/daphnid</v>
      </c>
      <c r="AR234" s="67" t="s">
        <v>475</v>
      </c>
      <c r="AS234" s="70">
        <f t="shared" si="331"/>
        <v>21</v>
      </c>
      <c r="AT234" s="67" t="s">
        <v>476</v>
      </c>
      <c r="AU234" s="67"/>
      <c r="AV234" s="82">
        <f t="shared" si="332"/>
        <v>14.176062328225303</v>
      </c>
      <c r="AW234" s="81">
        <f>GEOMEAN(AV234:AV234)</f>
        <v>14.176062328225303</v>
      </c>
      <c r="AX234" s="78">
        <f>MIN(AW234)</f>
        <v>14.176062328225303</v>
      </c>
      <c r="AY234" s="133"/>
    </row>
    <row r="235" spans="1:52" x14ac:dyDescent="0.2">
      <c r="A235" s="32" t="s">
        <v>89</v>
      </c>
      <c r="B235" s="33">
        <v>240</v>
      </c>
      <c r="C235" s="34" t="s">
        <v>24</v>
      </c>
      <c r="D235" s="35" t="s">
        <v>77</v>
      </c>
      <c r="E235" s="33" t="s">
        <v>61</v>
      </c>
      <c r="F235" s="33" t="s">
        <v>62</v>
      </c>
      <c r="G235" s="33" t="s">
        <v>52</v>
      </c>
      <c r="H235" s="33" t="s">
        <v>571</v>
      </c>
      <c r="I235" s="36" t="s">
        <v>78</v>
      </c>
      <c r="J235" s="36" t="s">
        <v>53</v>
      </c>
      <c r="K235" s="36" t="s">
        <v>53</v>
      </c>
      <c r="L235" s="36" t="s">
        <v>54</v>
      </c>
      <c r="M235" s="36">
        <v>21</v>
      </c>
      <c r="N235" s="33" t="s">
        <v>55</v>
      </c>
      <c r="O235" s="37" t="s">
        <v>33</v>
      </c>
      <c r="P235" s="38" t="s">
        <v>79</v>
      </c>
      <c r="Q235" s="33" t="s">
        <v>80</v>
      </c>
      <c r="R235" s="40">
        <v>19.8</v>
      </c>
      <c r="S235" s="33" t="s">
        <v>81</v>
      </c>
      <c r="T235" s="33">
        <v>8.4499999999999993</v>
      </c>
      <c r="U235" s="33">
        <v>9.9039999999999999</v>
      </c>
      <c r="V235" s="44" t="s">
        <v>37</v>
      </c>
      <c r="W235" s="44" t="s">
        <v>37</v>
      </c>
      <c r="X235" s="33">
        <v>420</v>
      </c>
      <c r="Y235" s="40">
        <f t="shared" si="318"/>
        <v>4.2407108239095308</v>
      </c>
      <c r="Z235" s="40">
        <f t="shared" si="319"/>
        <v>21.142464693435951</v>
      </c>
      <c r="AA235" s="40">
        <f t="shared" si="333"/>
        <v>14.176062328225303</v>
      </c>
      <c r="AC235" s="16">
        <f t="shared" si="320"/>
        <v>0.17298163592151028</v>
      </c>
      <c r="AD235" s="26">
        <f t="shared" si="321"/>
        <v>5.7809604740571769</v>
      </c>
      <c r="AE235" s="51">
        <v>26</v>
      </c>
      <c r="AF235" s="85" t="str">
        <f t="shared" si="322"/>
        <v>NOEC</v>
      </c>
      <c r="AG235" s="9">
        <f t="shared" si="323"/>
        <v>1</v>
      </c>
      <c r="AH235" s="18">
        <f t="shared" si="324"/>
        <v>14.176062328225303</v>
      </c>
      <c r="AI235" s="88" t="str">
        <f t="shared" si="325"/>
        <v>Chronic</v>
      </c>
      <c r="AJ235" s="9">
        <f t="shared" si="326"/>
        <v>1</v>
      </c>
      <c r="AK235" s="18">
        <f t="shared" si="327"/>
        <v>14.176062328225303</v>
      </c>
      <c r="AL235" s="16"/>
      <c r="AM235" s="110" t="str">
        <f t="shared" si="328"/>
        <v>NOEC</v>
      </c>
      <c r="AN235" s="111" t="s">
        <v>356</v>
      </c>
      <c r="AO235" s="112" t="str">
        <f t="shared" si="329"/>
        <v>Chronic</v>
      </c>
      <c r="AP235" s="111" t="str">
        <f t="shared" si="334"/>
        <v>y</v>
      </c>
      <c r="AQ235" s="134" t="str">
        <f t="shared" si="330"/>
        <v>Mortality</v>
      </c>
      <c r="AR235" s="111" t="s">
        <v>55</v>
      </c>
      <c r="AS235" s="114">
        <f t="shared" si="331"/>
        <v>21</v>
      </c>
      <c r="AT235" s="111" t="s">
        <v>477</v>
      </c>
      <c r="AU235" s="111"/>
      <c r="AV235" s="138">
        <f t="shared" si="332"/>
        <v>14.176062328225303</v>
      </c>
      <c r="AW235" s="135">
        <f>GEOMEAN(AV235:AV235)</f>
        <v>14.176062328225303</v>
      </c>
      <c r="AX235" s="136">
        <f>MIN(AW235)</f>
        <v>14.176062328225303</v>
      </c>
      <c r="AY235" s="137">
        <f>MIN(AX233:AX235)</f>
        <v>14.176062328225303</v>
      </c>
    </row>
    <row r="236" spans="1:52" x14ac:dyDescent="0.2">
      <c r="A236" s="19" t="s">
        <v>90</v>
      </c>
      <c r="B236" s="23">
        <v>231</v>
      </c>
      <c r="C236" s="10" t="s">
        <v>24</v>
      </c>
      <c r="D236" s="11" t="s">
        <v>91</v>
      </c>
      <c r="E236" s="9" t="s">
        <v>61</v>
      </c>
      <c r="F236" s="9" t="s">
        <v>92</v>
      </c>
      <c r="G236" s="9" t="s">
        <v>93</v>
      </c>
      <c r="H236" s="9" t="s">
        <v>571</v>
      </c>
      <c r="I236" s="9" t="s">
        <v>94</v>
      </c>
      <c r="J236" s="12" t="s">
        <v>53</v>
      </c>
      <c r="K236" s="12" t="s">
        <v>95</v>
      </c>
      <c r="L236" s="12" t="s">
        <v>54</v>
      </c>
      <c r="M236" s="9">
        <v>29</v>
      </c>
      <c r="N236" s="9" t="s">
        <v>55</v>
      </c>
      <c r="O236" s="9" t="s">
        <v>33</v>
      </c>
      <c r="P236" s="14" t="s">
        <v>96</v>
      </c>
      <c r="Q236" s="23">
        <v>15.8</v>
      </c>
      <c r="R236" s="94">
        <v>15.8</v>
      </c>
      <c r="S236" s="9">
        <v>8.3699999999999992</v>
      </c>
      <c r="T236" s="9">
        <v>8.3699999999999992</v>
      </c>
      <c r="U236" s="9">
        <v>6.3609999999999998</v>
      </c>
      <c r="V236" s="9">
        <v>0.94899999999999995</v>
      </c>
      <c r="W236" s="9">
        <v>66</v>
      </c>
      <c r="X236" s="9">
        <v>66</v>
      </c>
      <c r="Y236" s="9">
        <v>0.94899999999999995</v>
      </c>
      <c r="Z236" s="15">
        <f t="shared" si="319"/>
        <v>4.1349303568432507</v>
      </c>
      <c r="AA236" s="15">
        <f t="shared" si="333"/>
        <v>2.1422403702824382</v>
      </c>
      <c r="AC236" s="16">
        <f t="shared" si="320"/>
        <v>0.20796966871036979</v>
      </c>
      <c r="AD236" s="26">
        <f t="shared" si="321"/>
        <v>4.8083934844972802</v>
      </c>
      <c r="AE236" s="51">
        <v>26</v>
      </c>
      <c r="AF236" s="85" t="str">
        <f t="shared" si="322"/>
        <v>NOEC</v>
      </c>
      <c r="AG236" s="9">
        <f t="shared" si="323"/>
        <v>1</v>
      </c>
      <c r="AH236" s="18">
        <f t="shared" si="324"/>
        <v>2.1422403702824382</v>
      </c>
      <c r="AI236" s="88" t="str">
        <f t="shared" si="325"/>
        <v>Chronic</v>
      </c>
      <c r="AJ236" s="9">
        <f t="shared" si="326"/>
        <v>1</v>
      </c>
      <c r="AK236" s="18">
        <f t="shared" si="327"/>
        <v>2.1422403702824382</v>
      </c>
      <c r="AL236" s="16"/>
      <c r="AM236" s="127" t="str">
        <f t="shared" si="328"/>
        <v>NOEC</v>
      </c>
      <c r="AN236" s="128" t="s">
        <v>356</v>
      </c>
      <c r="AO236" s="129" t="str">
        <f t="shared" si="329"/>
        <v>Chronic</v>
      </c>
      <c r="AP236" s="128" t="str">
        <f t="shared" si="334"/>
        <v>y</v>
      </c>
      <c r="AQ236" s="130" t="str">
        <f t="shared" si="330"/>
        <v>Mortality (of juvenile Deleatidium sp.)</v>
      </c>
      <c r="AR236" s="128" t="s">
        <v>459</v>
      </c>
      <c r="AS236" s="131">
        <f t="shared" si="331"/>
        <v>29</v>
      </c>
      <c r="AT236" s="128" t="s">
        <v>460</v>
      </c>
      <c r="AU236" s="128"/>
      <c r="AV236" s="143">
        <f t="shared" si="332"/>
        <v>2.1422403702824382</v>
      </c>
      <c r="AW236" s="144">
        <f t="shared" ref="AW236:AW237" si="335">GEOMEAN(AV236:AV236)</f>
        <v>2.1422403702824382</v>
      </c>
      <c r="AX236" s="141">
        <f>MIN(AW236)</f>
        <v>2.1422403702824382</v>
      </c>
      <c r="AY236" s="142">
        <f>MIN(AX236:AX236)</f>
        <v>2.1422403702824382</v>
      </c>
    </row>
    <row r="237" spans="1:52" x14ac:dyDescent="0.2">
      <c r="A237" s="32" t="s">
        <v>97</v>
      </c>
      <c r="B237" s="44">
        <v>221</v>
      </c>
      <c r="C237" s="34" t="s">
        <v>24</v>
      </c>
      <c r="D237" s="35" t="s">
        <v>98</v>
      </c>
      <c r="E237" s="33" t="s">
        <v>61</v>
      </c>
      <c r="F237" s="33" t="s">
        <v>99</v>
      </c>
      <c r="G237" s="33" t="s">
        <v>93</v>
      </c>
      <c r="H237" s="33" t="s">
        <v>571</v>
      </c>
      <c r="I237" s="36" t="s">
        <v>100</v>
      </c>
      <c r="J237" s="36" t="s">
        <v>64</v>
      </c>
      <c r="K237" s="44" t="s">
        <v>101</v>
      </c>
      <c r="L237" s="36" t="s">
        <v>54</v>
      </c>
      <c r="M237" s="36">
        <v>10</v>
      </c>
      <c r="N237" s="33" t="s">
        <v>102</v>
      </c>
      <c r="O237" s="33" t="s">
        <v>33</v>
      </c>
      <c r="P237" s="45" t="s">
        <v>103</v>
      </c>
      <c r="Q237" s="44">
        <v>25</v>
      </c>
      <c r="R237" s="44">
        <v>25</v>
      </c>
      <c r="S237" s="33" t="s">
        <v>104</v>
      </c>
      <c r="T237" s="33">
        <v>8.0399999999999991</v>
      </c>
      <c r="U237" s="46">
        <v>5.8536524151080886</v>
      </c>
      <c r="V237" s="33">
        <v>2.5</v>
      </c>
      <c r="W237" s="33" t="s">
        <v>37</v>
      </c>
      <c r="X237" s="39">
        <f t="shared" ref="X237" si="336">(V237)*(U237/100)*1000</f>
        <v>146.3413103777022</v>
      </c>
      <c r="Y237" s="33">
        <v>2.5</v>
      </c>
      <c r="Z237" s="40">
        <f t="shared" si="319"/>
        <v>6.4367096033276967</v>
      </c>
      <c r="AA237" s="40">
        <f t="shared" si="333"/>
        <v>6.0348143736950028</v>
      </c>
      <c r="AC237" s="16">
        <f t="shared" si="320"/>
        <v>0.4446312674691093</v>
      </c>
      <c r="AD237" s="26">
        <f t="shared" si="321"/>
        <v>2.2490546058357781</v>
      </c>
      <c r="AE237" s="51">
        <v>26</v>
      </c>
      <c r="AF237" s="85" t="str">
        <f t="shared" si="322"/>
        <v>NOEC</v>
      </c>
      <c r="AG237" s="9">
        <f t="shared" si="323"/>
        <v>1</v>
      </c>
      <c r="AH237" s="18">
        <f t="shared" si="324"/>
        <v>6.0348143736950028</v>
      </c>
      <c r="AI237" s="88" t="str">
        <f t="shared" si="325"/>
        <v>Chronic</v>
      </c>
      <c r="AJ237" s="9">
        <f t="shared" si="326"/>
        <v>1</v>
      </c>
      <c r="AK237" s="18">
        <f t="shared" si="327"/>
        <v>6.0348143736950028</v>
      </c>
      <c r="AL237" s="16"/>
      <c r="AM237" s="101" t="str">
        <f t="shared" si="328"/>
        <v>NOEC</v>
      </c>
      <c r="AN237" s="102" t="s">
        <v>356</v>
      </c>
      <c r="AO237" s="103" t="str">
        <f t="shared" si="329"/>
        <v>Chronic</v>
      </c>
      <c r="AP237" s="102" t="str">
        <f t="shared" si="334"/>
        <v>y</v>
      </c>
      <c r="AQ237" s="104" t="str">
        <f t="shared" si="330"/>
        <v>Reproduction (average young per replicate)</v>
      </c>
      <c r="AR237" s="102" t="s">
        <v>459</v>
      </c>
      <c r="AS237" s="105">
        <f t="shared" si="331"/>
        <v>10</v>
      </c>
      <c r="AT237" s="102" t="s">
        <v>460</v>
      </c>
      <c r="AU237" s="102"/>
      <c r="AV237" s="106">
        <f t="shared" si="332"/>
        <v>6.0348143736950028</v>
      </c>
      <c r="AW237" s="118">
        <f t="shared" si="335"/>
        <v>6.0348143736950028</v>
      </c>
      <c r="AX237" s="73">
        <f>MIN(AW237:AW237)</f>
        <v>6.0348143736950028</v>
      </c>
      <c r="AY237" s="126">
        <f>MIN(AX237:AX237)</f>
        <v>6.0348143736950028</v>
      </c>
    </row>
    <row r="238" spans="1:52" x14ac:dyDescent="0.2">
      <c r="A238" s="19" t="s">
        <v>119</v>
      </c>
      <c r="B238" s="9">
        <v>235</v>
      </c>
      <c r="C238" s="10" t="s">
        <v>24</v>
      </c>
      <c r="D238" s="11" t="s">
        <v>120</v>
      </c>
      <c r="E238" s="9" t="s">
        <v>121</v>
      </c>
      <c r="F238" s="9" t="s">
        <v>122</v>
      </c>
      <c r="G238" s="9" t="s">
        <v>52</v>
      </c>
      <c r="H238" s="9" t="s">
        <v>571</v>
      </c>
      <c r="I238" s="12" t="s">
        <v>37</v>
      </c>
      <c r="J238" s="12" t="s">
        <v>123</v>
      </c>
      <c r="K238" s="12" t="s">
        <v>123</v>
      </c>
      <c r="L238" s="12" t="s">
        <v>54</v>
      </c>
      <c r="M238" s="12">
        <v>40</v>
      </c>
      <c r="N238" s="9" t="s">
        <v>55</v>
      </c>
      <c r="O238" s="13" t="s">
        <v>33</v>
      </c>
      <c r="P238" s="14" t="s">
        <v>56</v>
      </c>
      <c r="Q238" s="9" t="s">
        <v>438</v>
      </c>
      <c r="R238" s="9">
        <v>15.3</v>
      </c>
      <c r="S238" s="9" t="s">
        <v>124</v>
      </c>
      <c r="T238" s="9">
        <v>8.1</v>
      </c>
      <c r="U238" s="9">
        <v>3.3940000000000001</v>
      </c>
      <c r="V238" s="18">
        <v>2.1</v>
      </c>
      <c r="W238" s="9">
        <v>70</v>
      </c>
      <c r="X238" s="9">
        <v>70</v>
      </c>
      <c r="Y238" s="18">
        <v>2.1</v>
      </c>
      <c r="Z238" s="15">
        <f t="shared" si="319"/>
        <v>5.9178920071141139</v>
      </c>
      <c r="AA238" s="15">
        <f t="shared" si="333"/>
        <v>2.9687049434545911</v>
      </c>
      <c r="AC238" s="16">
        <f t="shared" si="320"/>
        <v>0.38725764492161724</v>
      </c>
      <c r="AD238" s="26">
        <f t="shared" si="321"/>
        <v>2.5822601906345959</v>
      </c>
      <c r="AE238" s="51">
        <v>26</v>
      </c>
      <c r="AF238" s="85" t="str">
        <f t="shared" si="322"/>
        <v>NOEC</v>
      </c>
      <c r="AG238" s="9">
        <f t="shared" si="323"/>
        <v>1</v>
      </c>
      <c r="AH238" s="18">
        <f t="shared" si="324"/>
        <v>2.9687049434545911</v>
      </c>
      <c r="AI238" s="88" t="str">
        <f t="shared" si="325"/>
        <v>Chronic</v>
      </c>
      <c r="AJ238" s="9">
        <f t="shared" si="326"/>
        <v>1</v>
      </c>
      <c r="AK238" s="18">
        <f t="shared" si="327"/>
        <v>2.9687049434545911</v>
      </c>
      <c r="AL238" s="16"/>
      <c r="AM238" s="127" t="str">
        <f t="shared" si="328"/>
        <v>NOEC</v>
      </c>
      <c r="AN238" s="128" t="s">
        <v>356</v>
      </c>
      <c r="AO238" s="129" t="str">
        <f t="shared" si="329"/>
        <v>Chronic</v>
      </c>
      <c r="AP238" s="128" t="str">
        <f t="shared" si="334"/>
        <v>y</v>
      </c>
      <c r="AQ238" s="130" t="str">
        <f t="shared" si="330"/>
        <v>Immobility</v>
      </c>
      <c r="AR238" s="128" t="s">
        <v>459</v>
      </c>
      <c r="AS238" s="131">
        <f t="shared" si="331"/>
        <v>40</v>
      </c>
      <c r="AT238" s="128" t="s">
        <v>460</v>
      </c>
      <c r="AU238" s="128"/>
      <c r="AV238" s="143">
        <f>AK238</f>
        <v>2.9687049434545911</v>
      </c>
      <c r="AW238" s="144">
        <f>GEOMEAN(AV238:AV238)</f>
        <v>2.9687049434545911</v>
      </c>
      <c r="AX238" s="148">
        <f>MIN(AW238)</f>
        <v>2.9687049434545911</v>
      </c>
      <c r="AY238" s="149">
        <f>MIN(AX238)</f>
        <v>2.9687049434545911</v>
      </c>
    </row>
    <row r="239" spans="1:52" x14ac:dyDescent="0.2">
      <c r="A239" s="32" t="s">
        <v>132</v>
      </c>
      <c r="B239" s="33">
        <v>254</v>
      </c>
      <c r="C239" s="34" t="s">
        <v>24</v>
      </c>
      <c r="D239" s="35" t="s">
        <v>126</v>
      </c>
      <c r="E239" s="33" t="s">
        <v>121</v>
      </c>
      <c r="F239" s="33" t="s">
        <v>127</v>
      </c>
      <c r="G239" s="33" t="s">
        <v>52</v>
      </c>
      <c r="H239" s="33" t="s">
        <v>571</v>
      </c>
      <c r="I239" s="36" t="s">
        <v>128</v>
      </c>
      <c r="J239" s="36" t="s">
        <v>53</v>
      </c>
      <c r="K239" s="36" t="s">
        <v>53</v>
      </c>
      <c r="L239" s="36" t="s">
        <v>133</v>
      </c>
      <c r="M239" s="36">
        <v>28</v>
      </c>
      <c r="N239" s="33" t="s">
        <v>55</v>
      </c>
      <c r="O239" s="37" t="s">
        <v>33</v>
      </c>
      <c r="P239" s="38" t="s">
        <v>129</v>
      </c>
      <c r="Q239" s="33" t="s">
        <v>130</v>
      </c>
      <c r="R239" s="33">
        <v>20</v>
      </c>
      <c r="S239" s="33" t="s">
        <v>131</v>
      </c>
      <c r="T239" s="33">
        <v>8.1999999999999993</v>
      </c>
      <c r="U239" s="33">
        <v>5.9020000000000001</v>
      </c>
      <c r="V239" s="33" t="s">
        <v>134</v>
      </c>
      <c r="W239" s="33" t="s">
        <v>37</v>
      </c>
      <c r="X239" s="33">
        <v>7.67</v>
      </c>
      <c r="Y239" s="33">
        <v>0.13</v>
      </c>
      <c r="Z239" s="40">
        <f t="shared" si="319"/>
        <v>0.4284575216169903</v>
      </c>
      <c r="AA239" s="40">
        <f t="shared" si="333"/>
        <v>0.29100990510441566</v>
      </c>
      <c r="AB239" t="s">
        <v>577</v>
      </c>
      <c r="AC239" s="16">
        <f t="shared" si="320"/>
        <v>0.30760968147407108</v>
      </c>
      <c r="AD239" s="26">
        <f t="shared" si="321"/>
        <v>3.2508729738543409</v>
      </c>
      <c r="AE239" s="51">
        <v>26</v>
      </c>
      <c r="AF239" s="85" t="str">
        <f t="shared" si="322"/>
        <v>IC10</v>
      </c>
      <c r="AG239" s="9">
        <f t="shared" si="323"/>
        <v>1</v>
      </c>
      <c r="AH239" s="18">
        <f t="shared" si="324"/>
        <v>0.29100990510441566</v>
      </c>
      <c r="AI239" s="88" t="str">
        <f t="shared" si="325"/>
        <v>Chronic</v>
      </c>
      <c r="AJ239" s="9">
        <f t="shared" si="326"/>
        <v>1</v>
      </c>
      <c r="AK239" s="18">
        <f t="shared" si="327"/>
        <v>0.29100990510441566</v>
      </c>
      <c r="AL239" s="16"/>
      <c r="AM239" s="132" t="str">
        <f t="shared" si="328"/>
        <v>IC10</v>
      </c>
      <c r="AN239" s="67" t="s">
        <v>356</v>
      </c>
      <c r="AO239" s="88" t="str">
        <f t="shared" si="329"/>
        <v>Chronic</v>
      </c>
      <c r="AP239" s="67" t="str">
        <f t="shared" si="334"/>
        <v>y</v>
      </c>
      <c r="AQ239" s="69" t="str">
        <f t="shared" si="330"/>
        <v>Mortality</v>
      </c>
      <c r="AR239" s="67" t="s">
        <v>459</v>
      </c>
      <c r="AS239" s="70">
        <f t="shared" si="331"/>
        <v>28</v>
      </c>
      <c r="AT239" s="67" t="s">
        <v>460</v>
      </c>
      <c r="AU239" s="67"/>
      <c r="AV239" s="151">
        <f>AK239</f>
        <v>0.29100990510441566</v>
      </c>
      <c r="AW239" s="95">
        <f>GEOMEAN(AV239:AV239)</f>
        <v>0.29100990510441566</v>
      </c>
      <c r="AX239" s="96">
        <f>MIN(AW239)</f>
        <v>0.29100990510441566</v>
      </c>
      <c r="AY239" s="153">
        <f>MIN(AX239)</f>
        <v>0.29100990510441566</v>
      </c>
    </row>
    <row r="240" spans="1:52" x14ac:dyDescent="0.2">
      <c r="A240" s="19" t="s">
        <v>144</v>
      </c>
      <c r="B240" s="9">
        <v>253</v>
      </c>
      <c r="C240" s="10" t="s">
        <v>24</v>
      </c>
      <c r="D240" s="11" t="s">
        <v>139</v>
      </c>
      <c r="E240" s="9" t="s">
        <v>121</v>
      </c>
      <c r="F240" s="9" t="s">
        <v>127</v>
      </c>
      <c r="G240" s="9" t="s">
        <v>52</v>
      </c>
      <c r="H240" s="9" t="s">
        <v>571</v>
      </c>
      <c r="I240" s="12" t="s">
        <v>140</v>
      </c>
      <c r="J240" s="12" t="s">
        <v>53</v>
      </c>
      <c r="K240" s="12" t="s">
        <v>53</v>
      </c>
      <c r="L240" s="12" t="s">
        <v>31</v>
      </c>
      <c r="M240" s="12">
        <v>28</v>
      </c>
      <c r="N240" s="9" t="s">
        <v>55</v>
      </c>
      <c r="O240" s="13" t="s">
        <v>33</v>
      </c>
      <c r="P240" s="14" t="s">
        <v>141</v>
      </c>
      <c r="Q240" s="9">
        <v>20</v>
      </c>
      <c r="R240" s="9">
        <v>20</v>
      </c>
      <c r="S240" s="9" t="s">
        <v>142</v>
      </c>
      <c r="T240" s="9">
        <v>8.26</v>
      </c>
      <c r="U240" s="9">
        <v>6.718</v>
      </c>
      <c r="V240" s="9">
        <v>0.54</v>
      </c>
      <c r="W240" s="9" t="s">
        <v>37</v>
      </c>
      <c r="X240" s="9">
        <v>36.299999999999997</v>
      </c>
      <c r="Y240" s="9">
        <v>0.54</v>
      </c>
      <c r="Z240" s="15">
        <f t="shared" si="319"/>
        <v>1.9610361754850452</v>
      </c>
      <c r="AA240" s="15">
        <f t="shared" si="333"/>
        <v>1.3319428940831533</v>
      </c>
      <c r="AC240" s="16">
        <f t="shared" si="320"/>
        <v>0.26791683248190312</v>
      </c>
      <c r="AD240" s="26">
        <f t="shared" si="321"/>
        <v>3.7325015779572066</v>
      </c>
      <c r="AE240" s="51">
        <v>26</v>
      </c>
      <c r="AF240" s="85" t="str">
        <f t="shared" si="322"/>
        <v>EC10</v>
      </c>
      <c r="AG240" s="9">
        <f t="shared" si="323"/>
        <v>1</v>
      </c>
      <c r="AH240" s="18">
        <f t="shared" si="324"/>
        <v>1.3319428940831533</v>
      </c>
      <c r="AI240" s="88" t="str">
        <f t="shared" si="325"/>
        <v>Chronic</v>
      </c>
      <c r="AJ240" s="9">
        <f t="shared" si="326"/>
        <v>1</v>
      </c>
      <c r="AK240" s="18">
        <f t="shared" si="327"/>
        <v>1.3319428940831533</v>
      </c>
      <c r="AM240" s="101" t="str">
        <f t="shared" si="328"/>
        <v>EC10</v>
      </c>
      <c r="AN240" s="102" t="s">
        <v>356</v>
      </c>
      <c r="AO240" s="103" t="str">
        <f t="shared" si="329"/>
        <v>Chronic</v>
      </c>
      <c r="AP240" s="102" t="str">
        <f t="shared" si="334"/>
        <v>y</v>
      </c>
      <c r="AQ240" s="104" t="str">
        <f t="shared" si="330"/>
        <v>Mortality</v>
      </c>
      <c r="AR240" s="196" t="s">
        <v>459</v>
      </c>
      <c r="AS240" s="105">
        <f t="shared" si="331"/>
        <v>28</v>
      </c>
      <c r="AT240" s="158" t="s">
        <v>460</v>
      </c>
      <c r="AU240" s="197"/>
      <c r="AV240" s="154">
        <f t="shared" ref="AV240:AV243" si="337">AK240</f>
        <v>1.3319428940831533</v>
      </c>
      <c r="AW240" s="155"/>
      <c r="AX240" s="197"/>
      <c r="AY240" s="198"/>
    </row>
    <row r="241" spans="1:52" x14ac:dyDescent="0.2">
      <c r="A241" s="19" t="s">
        <v>146</v>
      </c>
      <c r="B241" s="9">
        <v>254</v>
      </c>
      <c r="C241" s="10" t="s">
        <v>24</v>
      </c>
      <c r="D241" s="11" t="s">
        <v>139</v>
      </c>
      <c r="E241" s="9" t="s">
        <v>121</v>
      </c>
      <c r="F241" s="9" t="s">
        <v>127</v>
      </c>
      <c r="G241" s="9" t="s">
        <v>52</v>
      </c>
      <c r="H241" s="9" t="s">
        <v>571</v>
      </c>
      <c r="I241" s="12" t="s">
        <v>140</v>
      </c>
      <c r="J241" s="12" t="s">
        <v>53</v>
      </c>
      <c r="K241" s="12" t="s">
        <v>53</v>
      </c>
      <c r="L241" s="12" t="s">
        <v>133</v>
      </c>
      <c r="M241" s="12">
        <v>28</v>
      </c>
      <c r="N241" s="9" t="s">
        <v>55</v>
      </c>
      <c r="O241" s="13" t="s">
        <v>33</v>
      </c>
      <c r="P241" s="14" t="s">
        <v>129</v>
      </c>
      <c r="Q241" s="9" t="s">
        <v>130</v>
      </c>
      <c r="R241" s="9">
        <v>20</v>
      </c>
      <c r="S241" s="9" t="s">
        <v>131</v>
      </c>
      <c r="T241" s="9">
        <v>8.1999999999999993</v>
      </c>
      <c r="U241" s="9">
        <v>5.9020000000000001</v>
      </c>
      <c r="V241" s="9" t="s">
        <v>134</v>
      </c>
      <c r="W241" s="9" t="s">
        <v>37</v>
      </c>
      <c r="X241" s="9">
        <v>7.67</v>
      </c>
      <c r="Y241" s="9">
        <v>0.13</v>
      </c>
      <c r="Z241" s="15">
        <f t="shared" si="319"/>
        <v>0.4284575216169903</v>
      </c>
      <c r="AA241" s="15">
        <f t="shared" si="333"/>
        <v>0.29100990510441566</v>
      </c>
      <c r="AB241" t="s">
        <v>577</v>
      </c>
      <c r="AC241" s="16">
        <f t="shared" si="320"/>
        <v>0.30760968147407108</v>
      </c>
      <c r="AD241" s="26">
        <f t="shared" si="321"/>
        <v>3.2508729738543409</v>
      </c>
      <c r="AE241" s="51">
        <v>26</v>
      </c>
      <c r="AF241" s="85" t="str">
        <f t="shared" si="322"/>
        <v>IC10</v>
      </c>
      <c r="AG241" s="9">
        <f t="shared" si="323"/>
        <v>1</v>
      </c>
      <c r="AH241" s="18">
        <f t="shared" si="324"/>
        <v>0.29100990510441566</v>
      </c>
      <c r="AI241" s="88" t="str">
        <f t="shared" si="325"/>
        <v>Chronic</v>
      </c>
      <c r="AJ241" s="9">
        <f t="shared" si="326"/>
        <v>1</v>
      </c>
      <c r="AK241" s="18">
        <f t="shared" si="327"/>
        <v>0.29100990510441566</v>
      </c>
      <c r="AL241" s="16"/>
      <c r="AM241" s="110" t="str">
        <f t="shared" si="328"/>
        <v>IC10</v>
      </c>
      <c r="AN241" s="111" t="s">
        <v>356</v>
      </c>
      <c r="AO241" s="112" t="str">
        <f t="shared" si="329"/>
        <v>Chronic</v>
      </c>
      <c r="AP241" s="111" t="str">
        <f t="shared" si="334"/>
        <v>y</v>
      </c>
      <c r="AQ241" s="134" t="str">
        <f t="shared" si="330"/>
        <v>Mortality</v>
      </c>
      <c r="AR241" s="199" t="s">
        <v>459</v>
      </c>
      <c r="AS241" s="114">
        <f t="shared" si="331"/>
        <v>28</v>
      </c>
      <c r="AT241" s="199" t="s">
        <v>460</v>
      </c>
      <c r="AU241" s="200"/>
      <c r="AV241" s="152">
        <f t="shared" si="337"/>
        <v>0.29100990510441566</v>
      </c>
      <c r="AW241" s="116">
        <f>GEOMEAN(AV240:AV241)</f>
        <v>0.62258218350000927</v>
      </c>
      <c r="AX241" s="117">
        <f>MIN(AW241)</f>
        <v>0.62258218350000927</v>
      </c>
      <c r="AY241" s="125">
        <f>MIN(AX241:AX241)</f>
        <v>0.62258218350000927</v>
      </c>
    </row>
    <row r="242" spans="1:52" x14ac:dyDescent="0.2">
      <c r="A242" s="32" t="s">
        <v>148</v>
      </c>
      <c r="B242" s="33">
        <v>256</v>
      </c>
      <c r="C242" s="38" t="s">
        <v>24</v>
      </c>
      <c r="D242" s="35" t="s">
        <v>149</v>
      </c>
      <c r="E242" s="33" t="s">
        <v>121</v>
      </c>
      <c r="F242" s="33" t="s">
        <v>127</v>
      </c>
      <c r="G242" s="33" t="s">
        <v>52</v>
      </c>
      <c r="H242" s="33" t="s">
        <v>571</v>
      </c>
      <c r="I242" s="33" t="s">
        <v>37</v>
      </c>
      <c r="J242" s="36" t="s">
        <v>53</v>
      </c>
      <c r="K242" s="36" t="s">
        <v>53</v>
      </c>
      <c r="L242" s="36" t="s">
        <v>54</v>
      </c>
      <c r="M242" s="36">
        <v>6</v>
      </c>
      <c r="N242" s="33" t="s">
        <v>102</v>
      </c>
      <c r="O242" s="37" t="s">
        <v>33</v>
      </c>
      <c r="P242" s="38" t="s">
        <v>150</v>
      </c>
      <c r="Q242" s="33" t="s">
        <v>151</v>
      </c>
      <c r="R242" s="33">
        <v>21.8</v>
      </c>
      <c r="S242" s="33" t="s">
        <v>152</v>
      </c>
      <c r="T242" s="33">
        <v>7.8</v>
      </c>
      <c r="U242" s="33">
        <v>2.7679999999999998</v>
      </c>
      <c r="V242" s="33" t="s">
        <v>37</v>
      </c>
      <c r="W242" s="33">
        <v>30</v>
      </c>
      <c r="X242" s="33">
        <v>30</v>
      </c>
      <c r="Y242" s="40">
        <f t="shared" ref="Y242" si="338">X242/((U242/100)*1000)</f>
        <v>1.0838150289017343</v>
      </c>
      <c r="Z242" s="40">
        <f t="shared" si="319"/>
        <v>2.0127302212112239</v>
      </c>
      <c r="AA242" s="40">
        <f t="shared" si="333"/>
        <v>1.5352728419837924</v>
      </c>
      <c r="AB242" s="16"/>
      <c r="AC242" s="16">
        <f t="shared" si="320"/>
        <v>0.77268058509570214</v>
      </c>
      <c r="AD242" s="26">
        <f t="shared" si="321"/>
        <v>1.2941958414499863</v>
      </c>
      <c r="AE242" s="51">
        <v>26</v>
      </c>
      <c r="AF242" s="85" t="str">
        <f t="shared" si="322"/>
        <v>NOEC</v>
      </c>
      <c r="AG242" s="9">
        <f t="shared" si="323"/>
        <v>1</v>
      </c>
      <c r="AH242" s="18">
        <f t="shared" si="324"/>
        <v>1.5352728419837924</v>
      </c>
      <c r="AI242" s="88" t="str">
        <f t="shared" si="325"/>
        <v>Chronic</v>
      </c>
      <c r="AJ242" s="9">
        <f t="shared" si="326"/>
        <v>1</v>
      </c>
      <c r="AK242" s="18">
        <f t="shared" si="327"/>
        <v>1.5352728419837924</v>
      </c>
      <c r="AL242" s="16"/>
      <c r="AM242" s="101" t="str">
        <f t="shared" si="328"/>
        <v>NOEC</v>
      </c>
      <c r="AN242" s="102" t="s">
        <v>356</v>
      </c>
      <c r="AO242" s="103" t="str">
        <f t="shared" si="329"/>
        <v>Chronic</v>
      </c>
      <c r="AP242" s="102" t="str">
        <f t="shared" si="334"/>
        <v>y</v>
      </c>
      <c r="AQ242" s="104" t="str">
        <f t="shared" si="330"/>
        <v>Mortality</v>
      </c>
      <c r="AR242" s="102" t="s">
        <v>459</v>
      </c>
      <c r="AS242" s="105">
        <f t="shared" si="331"/>
        <v>6</v>
      </c>
      <c r="AT242" s="102" t="s">
        <v>460</v>
      </c>
      <c r="AU242" s="102"/>
      <c r="AV242" s="154">
        <f t="shared" si="337"/>
        <v>1.5352728419837924</v>
      </c>
      <c r="AW242" s="118">
        <f>GEOMEAN(AV242)</f>
        <v>1.5352728419837924</v>
      </c>
      <c r="AX242" s="119">
        <f>MIN(AW242:AW242)</f>
        <v>1.5352728419837924</v>
      </c>
      <c r="AY242" s="126">
        <f>MIN(AX242)</f>
        <v>1.5352728419837924</v>
      </c>
    </row>
    <row r="243" spans="1:52" x14ac:dyDescent="0.2">
      <c r="A243" s="8" t="s">
        <v>168</v>
      </c>
      <c r="B243" s="9">
        <v>242</v>
      </c>
      <c r="C243" s="10" t="s">
        <v>24</v>
      </c>
      <c r="D243" s="11" t="s">
        <v>155</v>
      </c>
      <c r="E243" s="9" t="s">
        <v>121</v>
      </c>
      <c r="F243" s="9" t="s">
        <v>127</v>
      </c>
      <c r="G243" s="9" t="s">
        <v>52</v>
      </c>
      <c r="H243" s="9" t="s">
        <v>571</v>
      </c>
      <c r="I243" s="12" t="s">
        <v>156</v>
      </c>
      <c r="J243" s="12" t="s">
        <v>136</v>
      </c>
      <c r="K243" s="12" t="s">
        <v>169</v>
      </c>
      <c r="L243" s="12" t="s">
        <v>54</v>
      </c>
      <c r="M243" s="12">
        <v>60</v>
      </c>
      <c r="N243" s="9" t="s">
        <v>55</v>
      </c>
      <c r="O243" s="13" t="s">
        <v>33</v>
      </c>
      <c r="P243" s="14" t="s">
        <v>157</v>
      </c>
      <c r="Q243" s="9">
        <v>20</v>
      </c>
      <c r="R243" s="9">
        <v>20</v>
      </c>
      <c r="S243" s="28" t="s">
        <v>158</v>
      </c>
      <c r="T243" s="28">
        <v>7.73</v>
      </c>
      <c r="U243" s="26" t="s">
        <v>170</v>
      </c>
      <c r="V243" s="9">
        <v>0.65</v>
      </c>
      <c r="W243" s="9">
        <v>12</v>
      </c>
      <c r="X243" s="9">
        <v>12</v>
      </c>
      <c r="Y243" s="9">
        <v>0.65</v>
      </c>
      <c r="Z243" s="15">
        <f t="shared" si="319"/>
        <v>1.1105489745328638</v>
      </c>
      <c r="AA243" s="15">
        <f t="shared" si="333"/>
        <v>0.75428889770201024</v>
      </c>
      <c r="AC243" s="16">
        <f t="shared" si="320"/>
        <v>0.90782053017818432</v>
      </c>
      <c r="AD243" s="26">
        <f t="shared" si="321"/>
        <v>1.1015393095414168</v>
      </c>
      <c r="AE243" s="51">
        <v>26</v>
      </c>
      <c r="AF243" s="85" t="str">
        <f t="shared" si="322"/>
        <v>NOEC</v>
      </c>
      <c r="AG243" s="9">
        <f t="shared" si="323"/>
        <v>1</v>
      </c>
      <c r="AH243" s="18">
        <f t="shared" si="324"/>
        <v>0.75428889770201024</v>
      </c>
      <c r="AI243" s="88" t="str">
        <f t="shared" si="325"/>
        <v>Chronic</v>
      </c>
      <c r="AJ243" s="9">
        <f t="shared" si="326"/>
        <v>1</v>
      </c>
      <c r="AK243" s="18">
        <f t="shared" si="327"/>
        <v>0.75428889770201024</v>
      </c>
      <c r="AL243" s="16"/>
      <c r="AM243" s="110" t="str">
        <f t="shared" si="328"/>
        <v>NOEC</v>
      </c>
      <c r="AN243" s="111" t="s">
        <v>356</v>
      </c>
      <c r="AO243" s="112" t="str">
        <f t="shared" si="329"/>
        <v>Chronic</v>
      </c>
      <c r="AP243" s="111" t="str">
        <f t="shared" si="334"/>
        <v>y</v>
      </c>
      <c r="AQ243" s="134" t="str">
        <f t="shared" si="330"/>
        <v>Length</v>
      </c>
      <c r="AR243" s="111" t="s">
        <v>475</v>
      </c>
      <c r="AS243" s="114">
        <f t="shared" si="331"/>
        <v>60</v>
      </c>
      <c r="AT243" s="111" t="s">
        <v>476</v>
      </c>
      <c r="AU243" s="111"/>
      <c r="AV243" s="152">
        <f t="shared" si="337"/>
        <v>0.75428889770201024</v>
      </c>
      <c r="AW243" s="116">
        <f>GEOMEAN(AV243)</f>
        <v>0.75428889770201024</v>
      </c>
      <c r="AX243" s="117">
        <f>MIN(AW243)</f>
        <v>0.75428889770201024</v>
      </c>
      <c r="AY243" s="125">
        <f>MIN(AX243:AX243)</f>
        <v>0.75428889770201024</v>
      </c>
    </row>
    <row r="244" spans="1:52" x14ac:dyDescent="0.2">
      <c r="A244" s="32" t="s">
        <v>176</v>
      </c>
      <c r="B244" s="33">
        <v>254</v>
      </c>
      <c r="C244" s="34" t="s">
        <v>24</v>
      </c>
      <c r="D244" s="35" t="s">
        <v>172</v>
      </c>
      <c r="E244" s="33" t="s">
        <v>121</v>
      </c>
      <c r="F244" s="33" t="s">
        <v>127</v>
      </c>
      <c r="G244" s="33" t="s">
        <v>52</v>
      </c>
      <c r="H244" s="33" t="s">
        <v>571</v>
      </c>
      <c r="I244" s="36" t="s">
        <v>128</v>
      </c>
      <c r="J244" s="36" t="s">
        <v>177</v>
      </c>
      <c r="K244" s="36" t="s">
        <v>137</v>
      </c>
      <c r="L244" s="36" t="s">
        <v>133</v>
      </c>
      <c r="M244" s="36">
        <v>28</v>
      </c>
      <c r="N244" s="33" t="s">
        <v>55</v>
      </c>
      <c r="O244" s="37" t="s">
        <v>33</v>
      </c>
      <c r="P244" s="38" t="s">
        <v>129</v>
      </c>
      <c r="Q244" s="33" t="s">
        <v>130</v>
      </c>
      <c r="R244" s="33">
        <v>20</v>
      </c>
      <c r="S244" s="33" t="s">
        <v>131</v>
      </c>
      <c r="T244" s="33">
        <v>8.1999999999999993</v>
      </c>
      <c r="U244" s="33">
        <v>5.9020000000000001</v>
      </c>
      <c r="V244" s="33" t="s">
        <v>175</v>
      </c>
      <c r="W244" s="33" t="s">
        <v>37</v>
      </c>
      <c r="X244" s="33">
        <v>23.6</v>
      </c>
      <c r="Y244" s="33">
        <v>0.4</v>
      </c>
      <c r="Z244" s="40">
        <f t="shared" si="319"/>
        <v>1.3183308357445855</v>
      </c>
      <c r="AA244" s="40">
        <f t="shared" si="333"/>
        <v>0.89541509262897134</v>
      </c>
      <c r="AB244" t="s">
        <v>577</v>
      </c>
      <c r="AC244" s="16">
        <f t="shared" si="320"/>
        <v>0.30760968147407108</v>
      </c>
      <c r="AD244" s="26">
        <f t="shared" si="321"/>
        <v>3.2508729738543409</v>
      </c>
      <c r="AE244" s="51">
        <v>26</v>
      </c>
      <c r="AF244" s="85" t="str">
        <f t="shared" si="322"/>
        <v>IC10</v>
      </c>
      <c r="AG244" s="9">
        <f t="shared" si="323"/>
        <v>1</v>
      </c>
      <c r="AH244" s="18">
        <f t="shared" si="324"/>
        <v>0.89541509262897134</v>
      </c>
      <c r="AI244" s="88" t="str">
        <f t="shared" si="325"/>
        <v>Chronic</v>
      </c>
      <c r="AJ244" s="9">
        <f t="shared" si="326"/>
        <v>1</v>
      </c>
      <c r="AK244" s="18">
        <f t="shared" si="327"/>
        <v>0.89541509262897134</v>
      </c>
      <c r="AL244" s="16"/>
      <c r="AM244" s="110" t="str">
        <f t="shared" si="328"/>
        <v>IC10</v>
      </c>
      <c r="AN244" s="111" t="s">
        <v>356</v>
      </c>
      <c r="AO244" s="112" t="str">
        <f t="shared" si="329"/>
        <v>Chronic</v>
      </c>
      <c r="AP244" s="111" t="str">
        <f t="shared" si="334"/>
        <v>y</v>
      </c>
      <c r="AQ244" s="134" t="str">
        <f t="shared" si="330"/>
        <v>Shell length</v>
      </c>
      <c r="AR244" s="111" t="s">
        <v>473</v>
      </c>
      <c r="AS244" s="114">
        <f t="shared" si="331"/>
        <v>28</v>
      </c>
      <c r="AT244" s="111" t="s">
        <v>474</v>
      </c>
      <c r="AU244" s="111"/>
      <c r="AV244" s="152">
        <f>AK244</f>
        <v>0.89541509262897134</v>
      </c>
      <c r="AW244" s="116">
        <f>GEOMEAN(AV244)</f>
        <v>0.89541509262897134</v>
      </c>
      <c r="AX244" s="117">
        <f>MIN(AW244)</f>
        <v>0.89541509262897134</v>
      </c>
      <c r="AY244" s="125">
        <f>MIN(AX244:AX244)</f>
        <v>0.89541509262897134</v>
      </c>
    </row>
    <row r="245" spans="1:52" x14ac:dyDescent="0.2">
      <c r="A245" s="193" t="s">
        <v>614</v>
      </c>
    </row>
    <row r="246" spans="1:52" x14ac:dyDescent="0.2">
      <c r="A246" s="32" t="s">
        <v>48</v>
      </c>
      <c r="B246" s="33">
        <v>236</v>
      </c>
      <c r="C246" s="34" t="s">
        <v>24</v>
      </c>
      <c r="D246" s="35" t="s">
        <v>49</v>
      </c>
      <c r="E246" s="33" t="s">
        <v>50</v>
      </c>
      <c r="F246" s="33" t="s">
        <v>51</v>
      </c>
      <c r="G246" s="33" t="s">
        <v>52</v>
      </c>
      <c r="H246" s="33" t="s">
        <v>571</v>
      </c>
      <c r="I246" s="36" t="s">
        <v>37</v>
      </c>
      <c r="J246" s="36" t="s">
        <v>53</v>
      </c>
      <c r="K246" s="36" t="s">
        <v>53</v>
      </c>
      <c r="L246" s="36" t="s">
        <v>54</v>
      </c>
      <c r="M246" s="36">
        <v>30</v>
      </c>
      <c r="N246" s="33" t="s">
        <v>55</v>
      </c>
      <c r="O246" s="37" t="s">
        <v>33</v>
      </c>
      <c r="P246" s="38" t="s">
        <v>56</v>
      </c>
      <c r="Q246" s="33" t="s">
        <v>57</v>
      </c>
      <c r="R246" s="40">
        <v>15.1</v>
      </c>
      <c r="S246" s="33" t="s">
        <v>58</v>
      </c>
      <c r="T246" s="33">
        <v>8.11</v>
      </c>
      <c r="U246" s="33">
        <v>3.42</v>
      </c>
      <c r="V246" s="33" t="s">
        <v>37</v>
      </c>
      <c r="W246" s="33">
        <v>20</v>
      </c>
      <c r="X246" s="40">
        <v>20</v>
      </c>
      <c r="Y246" s="40">
        <f t="shared" ref="Y246:Y250" si="339">X246/((U246/100)*1000)</f>
        <v>0.58479532163742687</v>
      </c>
      <c r="Z246" s="40">
        <f t="shared" ref="Z246:Z259" si="340">Y246/((0.0278/(1+AC246))+(1.1994/(1+AD246)))</f>
        <v>1.6734482467670493</v>
      </c>
      <c r="AA246" s="40">
        <f>POWER(10,LOG(Z246)-(-0.028*(R246-AE246)))</f>
        <v>0.77698437598720727</v>
      </c>
      <c r="AC246" s="16">
        <f t="shared" ref="AC246:AC259" si="341">POWER(10,7.688-T246)</f>
        <v>0.37844258471709358</v>
      </c>
      <c r="AD246" s="26">
        <f t="shared" ref="AD246:AD259" si="342">POWER(10,T246-7.688)</f>
        <v>2.6424087573219448</v>
      </c>
      <c r="AE246" s="51">
        <v>27</v>
      </c>
      <c r="AF246" s="85" t="str">
        <f t="shared" ref="AF246:AF259" si="343">L246</f>
        <v>NOEC</v>
      </c>
      <c r="AG246" s="9">
        <f t="shared" ref="AG246:AG259" si="344">VLOOKUP(AF246,$BD$6:$BE$17,2,FALSE)</f>
        <v>1</v>
      </c>
      <c r="AH246" s="18">
        <f t="shared" ref="AH246:AH259" si="345">AA246/AG246</f>
        <v>0.77698437598720727</v>
      </c>
      <c r="AI246" s="88" t="str">
        <f t="shared" ref="AI246:AI259" si="346">O246</f>
        <v>Chronic</v>
      </c>
      <c r="AJ246" s="9">
        <f t="shared" ref="AJ246:AJ259" si="347">VLOOKUP(AI246,$BD$19:$BF$20,2,FALSE)</f>
        <v>1</v>
      </c>
      <c r="AK246" s="18">
        <f t="shared" ref="AK246:AK259" si="348">AH246/AJ246</f>
        <v>0.77698437598720727</v>
      </c>
      <c r="AL246" s="16"/>
      <c r="AM246" s="127" t="str">
        <f t="shared" ref="AM246:AM259" si="349">L246</f>
        <v>NOEC</v>
      </c>
      <c r="AN246" s="128" t="s">
        <v>356</v>
      </c>
      <c r="AO246" s="129" t="str">
        <f t="shared" ref="AO246:AO259" si="350">O246</f>
        <v>Chronic</v>
      </c>
      <c r="AP246" s="128" t="str">
        <f>IF(AO246="chronic","y","n")</f>
        <v>y</v>
      </c>
      <c r="AQ246" s="130" t="str">
        <f t="shared" ref="AQ246:AQ259" si="351">K246</f>
        <v>Mortality</v>
      </c>
      <c r="AR246" s="128" t="s">
        <v>459</v>
      </c>
      <c r="AS246" s="131">
        <f t="shared" ref="AS246:AS259" si="352">M246</f>
        <v>30</v>
      </c>
      <c r="AT246" s="128" t="s">
        <v>460</v>
      </c>
      <c r="AU246" s="128"/>
      <c r="AV246" s="189">
        <f t="shared" ref="AV246:AV252" si="353">AK246</f>
        <v>0.77698437598720727</v>
      </c>
      <c r="AW246" s="190">
        <f>GEOMEAN(AV246)</f>
        <v>0.77698437598720727</v>
      </c>
      <c r="AX246" s="191">
        <f>MIN(AW246)</f>
        <v>0.77698437598720727</v>
      </c>
      <c r="AY246" s="192">
        <f>MIN(AX246)</f>
        <v>0.77698437598720727</v>
      </c>
      <c r="AZ246" s="206" t="str">
        <f>A245</f>
        <v>27°C</v>
      </c>
    </row>
    <row r="247" spans="1:52" x14ac:dyDescent="0.2">
      <c r="A247" s="19" t="s">
        <v>59</v>
      </c>
      <c r="B247" s="9">
        <v>245</v>
      </c>
      <c r="C247" s="10" t="s">
        <v>24</v>
      </c>
      <c r="D247" s="11" t="s">
        <v>60</v>
      </c>
      <c r="E247" s="20" t="s">
        <v>61</v>
      </c>
      <c r="F247" s="9" t="s">
        <v>62</v>
      </c>
      <c r="G247" s="9" t="s">
        <v>52</v>
      </c>
      <c r="H247" s="9" t="s">
        <v>571</v>
      </c>
      <c r="I247" s="12" t="s">
        <v>63</v>
      </c>
      <c r="J247" s="12" t="s">
        <v>64</v>
      </c>
      <c r="K247" s="12" t="s">
        <v>64</v>
      </c>
      <c r="L247" s="12" t="s">
        <v>54</v>
      </c>
      <c r="M247" s="12">
        <v>7</v>
      </c>
      <c r="N247" s="9" t="s">
        <v>55</v>
      </c>
      <c r="O247" s="21" t="s">
        <v>33</v>
      </c>
      <c r="P247" s="14" t="s">
        <v>65</v>
      </c>
      <c r="Q247" s="9">
        <v>25</v>
      </c>
      <c r="R247" s="9">
        <v>25</v>
      </c>
      <c r="S247" s="22">
        <v>8</v>
      </c>
      <c r="T247" s="22">
        <v>8</v>
      </c>
      <c r="U247" s="20">
        <v>5.3659999999999997</v>
      </c>
      <c r="V247" s="20" t="s">
        <v>37</v>
      </c>
      <c r="W247" s="20">
        <v>680</v>
      </c>
      <c r="X247" s="9">
        <v>680</v>
      </c>
      <c r="Y247" s="27">
        <f t="shared" si="339"/>
        <v>12.672381662318301</v>
      </c>
      <c r="Z247" s="15">
        <f t="shared" si="340"/>
        <v>30.774279778328605</v>
      </c>
      <c r="AA247" s="15">
        <f t="shared" ref="AA247:AA259" si="354">POWER(10,LOG(Z247)-(-0.028*(R247-AE247)))</f>
        <v>27.051284864404199</v>
      </c>
      <c r="AC247" s="16">
        <f t="shared" si="341"/>
        <v>0.48752849010338595</v>
      </c>
      <c r="AD247" s="26">
        <f t="shared" si="342"/>
        <v>2.051162178825567</v>
      </c>
      <c r="AE247" s="51">
        <v>27</v>
      </c>
      <c r="AF247" s="85" t="str">
        <f t="shared" si="343"/>
        <v>NOEC</v>
      </c>
      <c r="AG247" s="9">
        <f t="shared" si="344"/>
        <v>1</v>
      </c>
      <c r="AH247" s="18">
        <f t="shared" si="345"/>
        <v>27.051284864404199</v>
      </c>
      <c r="AI247" s="88" t="str">
        <f t="shared" si="346"/>
        <v>Chronic</v>
      </c>
      <c r="AJ247" s="9">
        <f t="shared" si="347"/>
        <v>1</v>
      </c>
      <c r="AK247" s="18">
        <f t="shared" si="348"/>
        <v>27.051284864404199</v>
      </c>
      <c r="AL247" s="16"/>
      <c r="AM247" s="101" t="str">
        <f t="shared" si="349"/>
        <v>NOEC</v>
      </c>
      <c r="AN247" s="102" t="s">
        <v>356</v>
      </c>
      <c r="AO247" s="103" t="str">
        <f t="shared" si="350"/>
        <v>Chronic</v>
      </c>
      <c r="AP247" s="102" t="str">
        <f t="shared" ref="AP247:AP259" si="355">IF(AO247="chronic","y","n")</f>
        <v>y</v>
      </c>
      <c r="AQ247" s="104" t="str">
        <f t="shared" si="351"/>
        <v>Reproduction</v>
      </c>
      <c r="AR247" s="102" t="s">
        <v>459</v>
      </c>
      <c r="AS247" s="105">
        <f t="shared" si="352"/>
        <v>7</v>
      </c>
      <c r="AT247" s="102" t="s">
        <v>460</v>
      </c>
      <c r="AU247" s="102"/>
      <c r="AV247" s="106">
        <f t="shared" si="353"/>
        <v>27.051284864404199</v>
      </c>
      <c r="AW247" s="107">
        <f>GEOMEAN(AV247:AV247)</f>
        <v>27.051284864404199</v>
      </c>
      <c r="AX247" s="108">
        <f>MIN(AW247:AW247)</f>
        <v>27.051284864404199</v>
      </c>
      <c r="AY247" s="109">
        <f>MIN(AX247)</f>
        <v>27.051284864404199</v>
      </c>
    </row>
    <row r="248" spans="1:52" x14ac:dyDescent="0.2">
      <c r="A248" s="32" t="s">
        <v>82</v>
      </c>
      <c r="B248" s="33">
        <v>240</v>
      </c>
      <c r="C248" s="34" t="s">
        <v>24</v>
      </c>
      <c r="D248" s="35" t="s">
        <v>77</v>
      </c>
      <c r="E248" s="33" t="s">
        <v>61</v>
      </c>
      <c r="F248" s="33" t="s">
        <v>62</v>
      </c>
      <c r="G248" s="33" t="s">
        <v>52</v>
      </c>
      <c r="H248" s="33" t="s">
        <v>571</v>
      </c>
      <c r="I248" s="36" t="s">
        <v>78</v>
      </c>
      <c r="J248" s="36" t="s">
        <v>83</v>
      </c>
      <c r="K248" s="36" t="s">
        <v>84</v>
      </c>
      <c r="L248" s="36" t="s">
        <v>54</v>
      </c>
      <c r="M248" s="36">
        <v>21</v>
      </c>
      <c r="N248" s="33" t="s">
        <v>55</v>
      </c>
      <c r="O248" s="37" t="s">
        <v>33</v>
      </c>
      <c r="P248" s="38" t="s">
        <v>79</v>
      </c>
      <c r="Q248" s="33" t="s">
        <v>80</v>
      </c>
      <c r="R248" s="40">
        <v>19.8</v>
      </c>
      <c r="S248" s="33" t="s">
        <v>81</v>
      </c>
      <c r="T248" s="33">
        <v>8.4499999999999993</v>
      </c>
      <c r="U248" s="33">
        <v>9.9039999999999999</v>
      </c>
      <c r="V248" s="44" t="s">
        <v>37</v>
      </c>
      <c r="W248" s="44" t="s">
        <v>37</v>
      </c>
      <c r="X248" s="33">
        <v>420</v>
      </c>
      <c r="Y248" s="40">
        <f t="shared" si="339"/>
        <v>4.2407108239095308</v>
      </c>
      <c r="Z248" s="40">
        <f t="shared" si="340"/>
        <v>21.142464693435951</v>
      </c>
      <c r="AA248" s="40">
        <f t="shared" si="354"/>
        <v>13.29093744675728</v>
      </c>
      <c r="AC248" s="16">
        <f t="shared" si="341"/>
        <v>0.17298163592151028</v>
      </c>
      <c r="AD248" s="26">
        <f t="shared" si="342"/>
        <v>5.7809604740571769</v>
      </c>
      <c r="AE248" s="51">
        <v>27</v>
      </c>
      <c r="AF248" s="85" t="str">
        <f t="shared" si="343"/>
        <v>NOEC</v>
      </c>
      <c r="AG248" s="9">
        <f t="shared" si="344"/>
        <v>1</v>
      </c>
      <c r="AH248" s="18">
        <f t="shared" si="345"/>
        <v>13.29093744675728</v>
      </c>
      <c r="AI248" s="88" t="str">
        <f t="shared" si="346"/>
        <v>Chronic</v>
      </c>
      <c r="AJ248" s="9">
        <f t="shared" si="347"/>
        <v>1</v>
      </c>
      <c r="AK248" s="18">
        <f t="shared" si="348"/>
        <v>13.29093744675728</v>
      </c>
      <c r="AL248" s="16"/>
      <c r="AM248" s="101" t="str">
        <f t="shared" si="349"/>
        <v>NOEC</v>
      </c>
      <c r="AN248" s="102" t="s">
        <v>356</v>
      </c>
      <c r="AO248" s="103" t="str">
        <f t="shared" si="350"/>
        <v>Chronic</v>
      </c>
      <c r="AP248" s="102" t="str">
        <f t="shared" si="355"/>
        <v>y</v>
      </c>
      <c r="AQ248" s="104" t="str">
        <f t="shared" si="351"/>
        <v>Mean total young/daphnid</v>
      </c>
      <c r="AR248" s="102" t="s">
        <v>459</v>
      </c>
      <c r="AS248" s="105">
        <f t="shared" si="352"/>
        <v>21</v>
      </c>
      <c r="AT248" s="102" t="s">
        <v>460</v>
      </c>
      <c r="AU248" s="102"/>
      <c r="AV248" s="147">
        <f t="shared" si="353"/>
        <v>13.29093744675728</v>
      </c>
      <c r="AW248" s="107">
        <f>GEOMEAN(AV248:AV248)</f>
        <v>13.29093744675728</v>
      </c>
      <c r="AX248" s="108">
        <f>MIN(AW248)</f>
        <v>13.29093744675728</v>
      </c>
      <c r="AY248" s="109"/>
    </row>
    <row r="249" spans="1:52" x14ac:dyDescent="0.2">
      <c r="A249" s="32" t="s">
        <v>87</v>
      </c>
      <c r="B249" s="33">
        <v>240</v>
      </c>
      <c r="C249" s="34" t="s">
        <v>24</v>
      </c>
      <c r="D249" s="35" t="s">
        <v>77</v>
      </c>
      <c r="E249" s="33" t="s">
        <v>61</v>
      </c>
      <c r="F249" s="33" t="s">
        <v>62</v>
      </c>
      <c r="G249" s="33" t="s">
        <v>52</v>
      </c>
      <c r="H249" s="33" t="s">
        <v>571</v>
      </c>
      <c r="I249" s="36" t="s">
        <v>78</v>
      </c>
      <c r="J249" s="36" t="s">
        <v>83</v>
      </c>
      <c r="K249" s="36" t="s">
        <v>88</v>
      </c>
      <c r="L249" s="36" t="s">
        <v>54</v>
      </c>
      <c r="M249" s="36">
        <v>21</v>
      </c>
      <c r="N249" s="33" t="s">
        <v>55</v>
      </c>
      <c r="O249" s="37" t="s">
        <v>33</v>
      </c>
      <c r="P249" s="38" t="s">
        <v>79</v>
      </c>
      <c r="Q249" s="33" t="s">
        <v>80</v>
      </c>
      <c r="R249" s="40">
        <v>19.8</v>
      </c>
      <c r="S249" s="33" t="s">
        <v>81</v>
      </c>
      <c r="T249" s="33">
        <v>8.4499999999999993</v>
      </c>
      <c r="U249" s="33">
        <v>9.9039999999999999</v>
      </c>
      <c r="V249" s="44" t="s">
        <v>37</v>
      </c>
      <c r="W249" s="44" t="s">
        <v>37</v>
      </c>
      <c r="X249" s="33">
        <v>420</v>
      </c>
      <c r="Y249" s="40">
        <f t="shared" si="339"/>
        <v>4.2407108239095308</v>
      </c>
      <c r="Z249" s="40">
        <f t="shared" si="340"/>
        <v>21.142464693435951</v>
      </c>
      <c r="AA249" s="40">
        <f t="shared" si="354"/>
        <v>13.29093744675728</v>
      </c>
      <c r="AC249" s="16">
        <f t="shared" si="341"/>
        <v>0.17298163592151028</v>
      </c>
      <c r="AD249" s="26">
        <f t="shared" si="342"/>
        <v>5.7809604740571769</v>
      </c>
      <c r="AE249" s="51">
        <v>27</v>
      </c>
      <c r="AF249" s="85" t="str">
        <f t="shared" si="343"/>
        <v>NOEC</v>
      </c>
      <c r="AG249" s="9">
        <f t="shared" si="344"/>
        <v>1</v>
      </c>
      <c r="AH249" s="18">
        <f t="shared" si="345"/>
        <v>13.29093744675728</v>
      </c>
      <c r="AI249" s="88" t="str">
        <f t="shared" si="346"/>
        <v>Chronic</v>
      </c>
      <c r="AJ249" s="9">
        <f t="shared" si="347"/>
        <v>1</v>
      </c>
      <c r="AK249" s="18">
        <f t="shared" si="348"/>
        <v>13.29093744675728</v>
      </c>
      <c r="AL249" s="16"/>
      <c r="AM249" s="132" t="str">
        <f t="shared" si="349"/>
        <v>NOEC</v>
      </c>
      <c r="AN249" s="67" t="s">
        <v>356</v>
      </c>
      <c r="AO249" s="88" t="str">
        <f t="shared" si="350"/>
        <v>Chronic</v>
      </c>
      <c r="AP249" s="67" t="str">
        <f t="shared" si="355"/>
        <v>y</v>
      </c>
      <c r="AQ249" s="69" t="str">
        <f t="shared" si="351"/>
        <v>Mean brood size/daphnid</v>
      </c>
      <c r="AR249" s="67" t="s">
        <v>475</v>
      </c>
      <c r="AS249" s="70">
        <f t="shared" si="352"/>
        <v>21</v>
      </c>
      <c r="AT249" s="67" t="s">
        <v>476</v>
      </c>
      <c r="AU249" s="67"/>
      <c r="AV249" s="82">
        <f t="shared" si="353"/>
        <v>13.29093744675728</v>
      </c>
      <c r="AW249" s="81">
        <f>GEOMEAN(AV249:AV249)</f>
        <v>13.29093744675728</v>
      </c>
      <c r="AX249" s="78">
        <f>MIN(AW249)</f>
        <v>13.29093744675728</v>
      </c>
      <c r="AY249" s="133"/>
    </row>
    <row r="250" spans="1:52" x14ac:dyDescent="0.2">
      <c r="A250" s="32" t="s">
        <v>89</v>
      </c>
      <c r="B250" s="33">
        <v>240</v>
      </c>
      <c r="C250" s="34" t="s">
        <v>24</v>
      </c>
      <c r="D250" s="35" t="s">
        <v>77</v>
      </c>
      <c r="E250" s="33" t="s">
        <v>61</v>
      </c>
      <c r="F250" s="33" t="s">
        <v>62</v>
      </c>
      <c r="G250" s="33" t="s">
        <v>52</v>
      </c>
      <c r="H250" s="33" t="s">
        <v>571</v>
      </c>
      <c r="I250" s="36" t="s">
        <v>78</v>
      </c>
      <c r="J250" s="36" t="s">
        <v>53</v>
      </c>
      <c r="K250" s="36" t="s">
        <v>53</v>
      </c>
      <c r="L250" s="36" t="s">
        <v>54</v>
      </c>
      <c r="M250" s="36">
        <v>21</v>
      </c>
      <c r="N250" s="33" t="s">
        <v>55</v>
      </c>
      <c r="O250" s="37" t="s">
        <v>33</v>
      </c>
      <c r="P250" s="38" t="s">
        <v>79</v>
      </c>
      <c r="Q250" s="33" t="s">
        <v>80</v>
      </c>
      <c r="R250" s="40">
        <v>19.8</v>
      </c>
      <c r="S250" s="33" t="s">
        <v>81</v>
      </c>
      <c r="T250" s="33">
        <v>8.4499999999999993</v>
      </c>
      <c r="U250" s="33">
        <v>9.9039999999999999</v>
      </c>
      <c r="V250" s="44" t="s">
        <v>37</v>
      </c>
      <c r="W250" s="44" t="s">
        <v>37</v>
      </c>
      <c r="X250" s="33">
        <v>420</v>
      </c>
      <c r="Y250" s="40">
        <f t="shared" si="339"/>
        <v>4.2407108239095308</v>
      </c>
      <c r="Z250" s="40">
        <f t="shared" si="340"/>
        <v>21.142464693435951</v>
      </c>
      <c r="AA250" s="40">
        <f t="shared" si="354"/>
        <v>13.29093744675728</v>
      </c>
      <c r="AC250" s="16">
        <f t="shared" si="341"/>
        <v>0.17298163592151028</v>
      </c>
      <c r="AD250" s="26">
        <f t="shared" si="342"/>
        <v>5.7809604740571769</v>
      </c>
      <c r="AE250" s="51">
        <v>27</v>
      </c>
      <c r="AF250" s="85" t="str">
        <f t="shared" si="343"/>
        <v>NOEC</v>
      </c>
      <c r="AG250" s="9">
        <f t="shared" si="344"/>
        <v>1</v>
      </c>
      <c r="AH250" s="18">
        <f t="shared" si="345"/>
        <v>13.29093744675728</v>
      </c>
      <c r="AI250" s="88" t="str">
        <f t="shared" si="346"/>
        <v>Chronic</v>
      </c>
      <c r="AJ250" s="9">
        <f t="shared" si="347"/>
        <v>1</v>
      </c>
      <c r="AK250" s="18">
        <f t="shared" si="348"/>
        <v>13.29093744675728</v>
      </c>
      <c r="AL250" s="16"/>
      <c r="AM250" s="110" t="str">
        <f t="shared" si="349"/>
        <v>NOEC</v>
      </c>
      <c r="AN250" s="111" t="s">
        <v>356</v>
      </c>
      <c r="AO250" s="112" t="str">
        <f t="shared" si="350"/>
        <v>Chronic</v>
      </c>
      <c r="AP250" s="111" t="str">
        <f t="shared" si="355"/>
        <v>y</v>
      </c>
      <c r="AQ250" s="134" t="str">
        <f t="shared" si="351"/>
        <v>Mortality</v>
      </c>
      <c r="AR250" s="111" t="s">
        <v>55</v>
      </c>
      <c r="AS250" s="114">
        <f t="shared" si="352"/>
        <v>21</v>
      </c>
      <c r="AT250" s="111" t="s">
        <v>477</v>
      </c>
      <c r="AU250" s="111"/>
      <c r="AV250" s="138">
        <f t="shared" si="353"/>
        <v>13.29093744675728</v>
      </c>
      <c r="AW250" s="135">
        <f>GEOMEAN(AV250:AV250)</f>
        <v>13.29093744675728</v>
      </c>
      <c r="AX250" s="136">
        <f>MIN(AW250)</f>
        <v>13.29093744675728</v>
      </c>
      <c r="AY250" s="137">
        <f>MIN(AX248:AX250)</f>
        <v>13.29093744675728</v>
      </c>
    </row>
    <row r="251" spans="1:52" x14ac:dyDescent="0.2">
      <c r="A251" s="19" t="s">
        <v>90</v>
      </c>
      <c r="B251" s="23">
        <v>231</v>
      </c>
      <c r="C251" s="10" t="s">
        <v>24</v>
      </c>
      <c r="D251" s="11" t="s">
        <v>91</v>
      </c>
      <c r="E251" s="9" t="s">
        <v>61</v>
      </c>
      <c r="F251" s="9" t="s">
        <v>92</v>
      </c>
      <c r="G251" s="9" t="s">
        <v>93</v>
      </c>
      <c r="H251" s="9" t="s">
        <v>571</v>
      </c>
      <c r="I251" s="9" t="s">
        <v>94</v>
      </c>
      <c r="J251" s="12" t="s">
        <v>53</v>
      </c>
      <c r="K251" s="12" t="s">
        <v>95</v>
      </c>
      <c r="L251" s="12" t="s">
        <v>54</v>
      </c>
      <c r="M251" s="9">
        <v>29</v>
      </c>
      <c r="N251" s="9" t="s">
        <v>55</v>
      </c>
      <c r="O251" s="9" t="s">
        <v>33</v>
      </c>
      <c r="P251" s="14" t="s">
        <v>96</v>
      </c>
      <c r="Q251" s="23">
        <v>15.8</v>
      </c>
      <c r="R251" s="94">
        <v>15.8</v>
      </c>
      <c r="S251" s="9">
        <v>8.3699999999999992</v>
      </c>
      <c r="T251" s="9">
        <v>8.3699999999999992</v>
      </c>
      <c r="U251" s="9">
        <v>6.3609999999999998</v>
      </c>
      <c r="V251" s="9">
        <v>0.94899999999999995</v>
      </c>
      <c r="W251" s="9">
        <v>66</v>
      </c>
      <c r="X251" s="9">
        <v>66</v>
      </c>
      <c r="Y251" s="9">
        <v>0.94899999999999995</v>
      </c>
      <c r="Z251" s="15">
        <f t="shared" si="340"/>
        <v>4.1349303568432507</v>
      </c>
      <c r="AA251" s="15">
        <f t="shared" si="354"/>
        <v>2.0084831808796433</v>
      </c>
      <c r="AC251" s="16">
        <f t="shared" si="341"/>
        <v>0.20796966871036979</v>
      </c>
      <c r="AD251" s="26">
        <f t="shared" si="342"/>
        <v>4.8083934844972802</v>
      </c>
      <c r="AE251" s="51">
        <v>27</v>
      </c>
      <c r="AF251" s="85" t="str">
        <f t="shared" si="343"/>
        <v>NOEC</v>
      </c>
      <c r="AG251" s="9">
        <f t="shared" si="344"/>
        <v>1</v>
      </c>
      <c r="AH251" s="18">
        <f t="shared" si="345"/>
        <v>2.0084831808796433</v>
      </c>
      <c r="AI251" s="88" t="str">
        <f t="shared" si="346"/>
        <v>Chronic</v>
      </c>
      <c r="AJ251" s="9">
        <f t="shared" si="347"/>
        <v>1</v>
      </c>
      <c r="AK251" s="18">
        <f t="shared" si="348"/>
        <v>2.0084831808796433</v>
      </c>
      <c r="AL251" s="16"/>
      <c r="AM251" s="127" t="str">
        <f t="shared" si="349"/>
        <v>NOEC</v>
      </c>
      <c r="AN251" s="128" t="s">
        <v>356</v>
      </c>
      <c r="AO251" s="129" t="str">
        <f t="shared" si="350"/>
        <v>Chronic</v>
      </c>
      <c r="AP251" s="128" t="str">
        <f t="shared" si="355"/>
        <v>y</v>
      </c>
      <c r="AQ251" s="130" t="str">
        <f t="shared" si="351"/>
        <v>Mortality (of juvenile Deleatidium sp.)</v>
      </c>
      <c r="AR251" s="128" t="s">
        <v>459</v>
      </c>
      <c r="AS251" s="131">
        <f t="shared" si="352"/>
        <v>29</v>
      </c>
      <c r="AT251" s="128" t="s">
        <v>460</v>
      </c>
      <c r="AU251" s="128"/>
      <c r="AV251" s="143">
        <f t="shared" si="353"/>
        <v>2.0084831808796433</v>
      </c>
      <c r="AW251" s="144">
        <f t="shared" ref="AW251:AW252" si="356">GEOMEAN(AV251:AV251)</f>
        <v>2.0084831808796433</v>
      </c>
      <c r="AX251" s="141">
        <f>MIN(AW251)</f>
        <v>2.0084831808796433</v>
      </c>
      <c r="AY251" s="142">
        <f>MIN(AX251:AX251)</f>
        <v>2.0084831808796433</v>
      </c>
    </row>
    <row r="252" spans="1:52" x14ac:dyDescent="0.2">
      <c r="A252" s="32" t="s">
        <v>97</v>
      </c>
      <c r="B252" s="44">
        <v>221</v>
      </c>
      <c r="C252" s="34" t="s">
        <v>24</v>
      </c>
      <c r="D252" s="35" t="s">
        <v>98</v>
      </c>
      <c r="E252" s="33" t="s">
        <v>61</v>
      </c>
      <c r="F252" s="33" t="s">
        <v>99</v>
      </c>
      <c r="G252" s="33" t="s">
        <v>93</v>
      </c>
      <c r="H252" s="33" t="s">
        <v>571</v>
      </c>
      <c r="I252" s="36" t="s">
        <v>100</v>
      </c>
      <c r="J252" s="36" t="s">
        <v>64</v>
      </c>
      <c r="K252" s="44" t="s">
        <v>101</v>
      </c>
      <c r="L252" s="36" t="s">
        <v>54</v>
      </c>
      <c r="M252" s="36">
        <v>10</v>
      </c>
      <c r="N252" s="33" t="s">
        <v>102</v>
      </c>
      <c r="O252" s="33" t="s">
        <v>33</v>
      </c>
      <c r="P252" s="45" t="s">
        <v>103</v>
      </c>
      <c r="Q252" s="44">
        <v>25</v>
      </c>
      <c r="R252" s="44">
        <v>25</v>
      </c>
      <c r="S252" s="33" t="s">
        <v>104</v>
      </c>
      <c r="T252" s="33">
        <v>8.0399999999999991</v>
      </c>
      <c r="U252" s="46">
        <v>5.8536524151080886</v>
      </c>
      <c r="V252" s="33">
        <v>2.5</v>
      </c>
      <c r="W252" s="33" t="s">
        <v>37</v>
      </c>
      <c r="X252" s="39">
        <f t="shared" ref="X252" si="357">(V252)*(U252/100)*1000</f>
        <v>146.3413103777022</v>
      </c>
      <c r="Y252" s="33">
        <v>2.5</v>
      </c>
      <c r="Z252" s="40">
        <f t="shared" si="340"/>
        <v>6.4367096033276967</v>
      </c>
      <c r="AA252" s="40">
        <f t="shared" si="354"/>
        <v>5.6580126756266349</v>
      </c>
      <c r="AC252" s="16">
        <f t="shared" si="341"/>
        <v>0.4446312674691093</v>
      </c>
      <c r="AD252" s="26">
        <f t="shared" si="342"/>
        <v>2.2490546058357781</v>
      </c>
      <c r="AE252" s="51">
        <v>27</v>
      </c>
      <c r="AF252" s="85" t="str">
        <f t="shared" si="343"/>
        <v>NOEC</v>
      </c>
      <c r="AG252" s="9">
        <f t="shared" si="344"/>
        <v>1</v>
      </c>
      <c r="AH252" s="18">
        <f t="shared" si="345"/>
        <v>5.6580126756266349</v>
      </c>
      <c r="AI252" s="88" t="str">
        <f t="shared" si="346"/>
        <v>Chronic</v>
      </c>
      <c r="AJ252" s="9">
        <f t="shared" si="347"/>
        <v>1</v>
      </c>
      <c r="AK252" s="18">
        <f t="shared" si="348"/>
        <v>5.6580126756266349</v>
      </c>
      <c r="AL252" s="16"/>
      <c r="AM252" s="101" t="str">
        <f t="shared" si="349"/>
        <v>NOEC</v>
      </c>
      <c r="AN252" s="102" t="s">
        <v>356</v>
      </c>
      <c r="AO252" s="103" t="str">
        <f t="shared" si="350"/>
        <v>Chronic</v>
      </c>
      <c r="AP252" s="102" t="str">
        <f t="shared" si="355"/>
        <v>y</v>
      </c>
      <c r="AQ252" s="104" t="str">
        <f t="shared" si="351"/>
        <v>Reproduction (average young per replicate)</v>
      </c>
      <c r="AR252" s="102" t="s">
        <v>459</v>
      </c>
      <c r="AS252" s="105">
        <f t="shared" si="352"/>
        <v>10</v>
      </c>
      <c r="AT252" s="102" t="s">
        <v>460</v>
      </c>
      <c r="AU252" s="102"/>
      <c r="AV252" s="106">
        <f t="shared" si="353"/>
        <v>5.6580126756266349</v>
      </c>
      <c r="AW252" s="118">
        <f t="shared" si="356"/>
        <v>5.6580126756266349</v>
      </c>
      <c r="AX252" s="73">
        <f>MIN(AW252:AW252)</f>
        <v>5.6580126756266349</v>
      </c>
      <c r="AY252" s="126">
        <f>MIN(AX252:AX252)</f>
        <v>5.6580126756266349</v>
      </c>
    </row>
    <row r="253" spans="1:52" x14ac:dyDescent="0.2">
      <c r="A253" s="19" t="s">
        <v>119</v>
      </c>
      <c r="B253" s="9">
        <v>235</v>
      </c>
      <c r="C253" s="10" t="s">
        <v>24</v>
      </c>
      <c r="D253" s="11" t="s">
        <v>120</v>
      </c>
      <c r="E253" s="9" t="s">
        <v>121</v>
      </c>
      <c r="F253" s="9" t="s">
        <v>122</v>
      </c>
      <c r="G253" s="9" t="s">
        <v>52</v>
      </c>
      <c r="H253" s="9" t="s">
        <v>571</v>
      </c>
      <c r="I253" s="12" t="s">
        <v>37</v>
      </c>
      <c r="J253" s="12" t="s">
        <v>123</v>
      </c>
      <c r="K253" s="12" t="s">
        <v>123</v>
      </c>
      <c r="L253" s="12" t="s">
        <v>54</v>
      </c>
      <c r="M253" s="12">
        <v>40</v>
      </c>
      <c r="N253" s="9" t="s">
        <v>55</v>
      </c>
      <c r="O253" s="13" t="s">
        <v>33</v>
      </c>
      <c r="P253" s="14" t="s">
        <v>56</v>
      </c>
      <c r="Q253" s="9" t="s">
        <v>438</v>
      </c>
      <c r="R253" s="9">
        <v>15.3</v>
      </c>
      <c r="S253" s="9" t="s">
        <v>124</v>
      </c>
      <c r="T253" s="9">
        <v>8.1</v>
      </c>
      <c r="U253" s="9">
        <v>3.3940000000000001</v>
      </c>
      <c r="V253" s="18">
        <v>2.1</v>
      </c>
      <c r="W253" s="9">
        <v>70</v>
      </c>
      <c r="X253" s="9">
        <v>70</v>
      </c>
      <c r="Y253" s="18">
        <v>2.1</v>
      </c>
      <c r="Z253" s="15">
        <f t="shared" si="340"/>
        <v>5.9178920071141139</v>
      </c>
      <c r="AA253" s="15">
        <f t="shared" si="354"/>
        <v>2.7833449647560684</v>
      </c>
      <c r="AC253" s="16">
        <f t="shared" si="341"/>
        <v>0.38725764492161724</v>
      </c>
      <c r="AD253" s="26">
        <f t="shared" si="342"/>
        <v>2.5822601906345959</v>
      </c>
      <c r="AE253" s="51">
        <v>27</v>
      </c>
      <c r="AF253" s="85" t="str">
        <f t="shared" si="343"/>
        <v>NOEC</v>
      </c>
      <c r="AG253" s="9">
        <f t="shared" si="344"/>
        <v>1</v>
      </c>
      <c r="AH253" s="18">
        <f t="shared" si="345"/>
        <v>2.7833449647560684</v>
      </c>
      <c r="AI253" s="88" t="str">
        <f t="shared" si="346"/>
        <v>Chronic</v>
      </c>
      <c r="AJ253" s="9">
        <f t="shared" si="347"/>
        <v>1</v>
      </c>
      <c r="AK253" s="18">
        <f t="shared" si="348"/>
        <v>2.7833449647560684</v>
      </c>
      <c r="AL253" s="16"/>
      <c r="AM253" s="127" t="str">
        <f t="shared" si="349"/>
        <v>NOEC</v>
      </c>
      <c r="AN253" s="128" t="s">
        <v>356</v>
      </c>
      <c r="AO253" s="129" t="str">
        <f t="shared" si="350"/>
        <v>Chronic</v>
      </c>
      <c r="AP253" s="128" t="str">
        <f t="shared" si="355"/>
        <v>y</v>
      </c>
      <c r="AQ253" s="130" t="str">
        <f t="shared" si="351"/>
        <v>Immobility</v>
      </c>
      <c r="AR253" s="128" t="s">
        <v>459</v>
      </c>
      <c r="AS253" s="131">
        <f t="shared" si="352"/>
        <v>40</v>
      </c>
      <c r="AT253" s="128" t="s">
        <v>460</v>
      </c>
      <c r="AU253" s="128"/>
      <c r="AV253" s="143">
        <f>AK253</f>
        <v>2.7833449647560684</v>
      </c>
      <c r="AW253" s="144">
        <f>GEOMEAN(AV253:AV253)</f>
        <v>2.7833449647560684</v>
      </c>
      <c r="AX253" s="148">
        <f>MIN(AW253)</f>
        <v>2.7833449647560684</v>
      </c>
      <c r="AY253" s="149">
        <f>MIN(AX253)</f>
        <v>2.7833449647560684</v>
      </c>
    </row>
    <row r="254" spans="1:52" x14ac:dyDescent="0.2">
      <c r="A254" s="32" t="s">
        <v>132</v>
      </c>
      <c r="B254" s="33">
        <v>254</v>
      </c>
      <c r="C254" s="34" t="s">
        <v>24</v>
      </c>
      <c r="D254" s="35" t="s">
        <v>126</v>
      </c>
      <c r="E254" s="33" t="s">
        <v>121</v>
      </c>
      <c r="F254" s="33" t="s">
        <v>127</v>
      </c>
      <c r="G254" s="33" t="s">
        <v>52</v>
      </c>
      <c r="H254" s="33" t="s">
        <v>571</v>
      </c>
      <c r="I254" s="36" t="s">
        <v>128</v>
      </c>
      <c r="J254" s="36" t="s">
        <v>53</v>
      </c>
      <c r="K254" s="36" t="s">
        <v>53</v>
      </c>
      <c r="L254" s="36" t="s">
        <v>133</v>
      </c>
      <c r="M254" s="36">
        <v>28</v>
      </c>
      <c r="N254" s="33" t="s">
        <v>55</v>
      </c>
      <c r="O254" s="37" t="s">
        <v>33</v>
      </c>
      <c r="P254" s="38" t="s">
        <v>129</v>
      </c>
      <c r="Q254" s="33" t="s">
        <v>130</v>
      </c>
      <c r="R254" s="33">
        <v>20</v>
      </c>
      <c r="S254" s="33" t="s">
        <v>131</v>
      </c>
      <c r="T254" s="33">
        <v>8.1999999999999993</v>
      </c>
      <c r="U254" s="33">
        <v>5.9020000000000001</v>
      </c>
      <c r="V254" s="33" t="s">
        <v>134</v>
      </c>
      <c r="W254" s="33" t="s">
        <v>37</v>
      </c>
      <c r="X254" s="33">
        <v>7.67</v>
      </c>
      <c r="Y254" s="33">
        <v>0.13</v>
      </c>
      <c r="Z254" s="40">
        <f t="shared" si="340"/>
        <v>0.4284575216169903</v>
      </c>
      <c r="AA254" s="40">
        <f t="shared" si="354"/>
        <v>0.27283983066500583</v>
      </c>
      <c r="AB254" t="s">
        <v>577</v>
      </c>
      <c r="AC254" s="16">
        <f t="shared" si="341"/>
        <v>0.30760968147407108</v>
      </c>
      <c r="AD254" s="26">
        <f t="shared" si="342"/>
        <v>3.2508729738543409</v>
      </c>
      <c r="AE254" s="51">
        <v>27</v>
      </c>
      <c r="AF254" s="85" t="str">
        <f t="shared" si="343"/>
        <v>IC10</v>
      </c>
      <c r="AG254" s="9">
        <f t="shared" si="344"/>
        <v>1</v>
      </c>
      <c r="AH254" s="18">
        <f t="shared" si="345"/>
        <v>0.27283983066500583</v>
      </c>
      <c r="AI254" s="88" t="str">
        <f t="shared" si="346"/>
        <v>Chronic</v>
      </c>
      <c r="AJ254" s="9">
        <f t="shared" si="347"/>
        <v>1</v>
      </c>
      <c r="AK254" s="18">
        <f t="shared" si="348"/>
        <v>0.27283983066500583</v>
      </c>
      <c r="AL254" s="16"/>
      <c r="AM254" s="132" t="str">
        <f t="shared" si="349"/>
        <v>IC10</v>
      </c>
      <c r="AN254" s="67" t="s">
        <v>356</v>
      </c>
      <c r="AO254" s="88" t="str">
        <f t="shared" si="350"/>
        <v>Chronic</v>
      </c>
      <c r="AP254" s="67" t="str">
        <f t="shared" si="355"/>
        <v>y</v>
      </c>
      <c r="AQ254" s="69" t="str">
        <f t="shared" si="351"/>
        <v>Mortality</v>
      </c>
      <c r="AR254" s="67" t="s">
        <v>459</v>
      </c>
      <c r="AS254" s="70">
        <f t="shared" si="352"/>
        <v>28</v>
      </c>
      <c r="AT254" s="67" t="s">
        <v>460</v>
      </c>
      <c r="AU254" s="67"/>
      <c r="AV254" s="151">
        <f>AK254</f>
        <v>0.27283983066500583</v>
      </c>
      <c r="AW254" s="95">
        <f>GEOMEAN(AV254:AV254)</f>
        <v>0.27283983066500583</v>
      </c>
      <c r="AX254" s="96">
        <f>MIN(AW254)</f>
        <v>0.27283983066500583</v>
      </c>
      <c r="AY254" s="153">
        <f>MIN(AX254)</f>
        <v>0.27283983066500583</v>
      </c>
    </row>
    <row r="255" spans="1:52" x14ac:dyDescent="0.2">
      <c r="A255" s="19" t="s">
        <v>144</v>
      </c>
      <c r="B255" s="9">
        <v>253</v>
      </c>
      <c r="C255" s="10" t="s">
        <v>24</v>
      </c>
      <c r="D255" s="11" t="s">
        <v>139</v>
      </c>
      <c r="E255" s="9" t="s">
        <v>121</v>
      </c>
      <c r="F255" s="9" t="s">
        <v>127</v>
      </c>
      <c r="G255" s="9" t="s">
        <v>52</v>
      </c>
      <c r="H255" s="9" t="s">
        <v>571</v>
      </c>
      <c r="I255" s="12" t="s">
        <v>140</v>
      </c>
      <c r="J255" s="12" t="s">
        <v>53</v>
      </c>
      <c r="K255" s="12" t="s">
        <v>53</v>
      </c>
      <c r="L255" s="12" t="s">
        <v>31</v>
      </c>
      <c r="M255" s="12">
        <v>28</v>
      </c>
      <c r="N255" s="9" t="s">
        <v>55</v>
      </c>
      <c r="O255" s="13" t="s">
        <v>33</v>
      </c>
      <c r="P255" s="14" t="s">
        <v>141</v>
      </c>
      <c r="Q255" s="9">
        <v>20</v>
      </c>
      <c r="R255" s="9">
        <v>20</v>
      </c>
      <c r="S255" s="9" t="s">
        <v>142</v>
      </c>
      <c r="T255" s="9">
        <v>8.26</v>
      </c>
      <c r="U255" s="9">
        <v>6.718</v>
      </c>
      <c r="V255" s="9">
        <v>0.54</v>
      </c>
      <c r="W255" s="9" t="s">
        <v>37</v>
      </c>
      <c r="X255" s="9">
        <v>36.299999999999997</v>
      </c>
      <c r="Y255" s="9">
        <v>0.54</v>
      </c>
      <c r="Z255" s="15">
        <f t="shared" si="340"/>
        <v>1.9610361754850452</v>
      </c>
      <c r="AA255" s="15">
        <f t="shared" si="354"/>
        <v>1.2487790528872662</v>
      </c>
      <c r="AC255" s="16">
        <f t="shared" si="341"/>
        <v>0.26791683248190312</v>
      </c>
      <c r="AD255" s="26">
        <f t="shared" si="342"/>
        <v>3.7325015779572066</v>
      </c>
      <c r="AE255" s="51">
        <v>27</v>
      </c>
      <c r="AF255" s="85" t="str">
        <f t="shared" si="343"/>
        <v>EC10</v>
      </c>
      <c r="AG255" s="9">
        <f t="shared" si="344"/>
        <v>1</v>
      </c>
      <c r="AH255" s="18">
        <f t="shared" si="345"/>
        <v>1.2487790528872662</v>
      </c>
      <c r="AI255" s="88" t="str">
        <f t="shared" si="346"/>
        <v>Chronic</v>
      </c>
      <c r="AJ255" s="9">
        <f t="shared" si="347"/>
        <v>1</v>
      </c>
      <c r="AK255" s="18">
        <f t="shared" si="348"/>
        <v>1.2487790528872662</v>
      </c>
      <c r="AM255" s="101" t="str">
        <f t="shared" si="349"/>
        <v>EC10</v>
      </c>
      <c r="AN255" s="102" t="s">
        <v>356</v>
      </c>
      <c r="AO255" s="103" t="str">
        <f t="shared" si="350"/>
        <v>Chronic</v>
      </c>
      <c r="AP255" s="102" t="str">
        <f t="shared" si="355"/>
        <v>y</v>
      </c>
      <c r="AQ255" s="104" t="str">
        <f t="shared" si="351"/>
        <v>Mortality</v>
      </c>
      <c r="AR255" s="196" t="s">
        <v>459</v>
      </c>
      <c r="AS255" s="105">
        <f t="shared" si="352"/>
        <v>28</v>
      </c>
      <c r="AT255" s="158" t="s">
        <v>460</v>
      </c>
      <c r="AU255" s="197"/>
      <c r="AV255" s="154">
        <f t="shared" ref="AV255:AV258" si="358">AK255</f>
        <v>1.2487790528872662</v>
      </c>
      <c r="AW255" s="155"/>
      <c r="AX255" s="197"/>
      <c r="AY255" s="198"/>
    </row>
    <row r="256" spans="1:52" x14ac:dyDescent="0.2">
      <c r="A256" s="19" t="s">
        <v>146</v>
      </c>
      <c r="B256" s="9">
        <v>254</v>
      </c>
      <c r="C256" s="10" t="s">
        <v>24</v>
      </c>
      <c r="D256" s="11" t="s">
        <v>139</v>
      </c>
      <c r="E256" s="9" t="s">
        <v>121</v>
      </c>
      <c r="F256" s="9" t="s">
        <v>127</v>
      </c>
      <c r="G256" s="9" t="s">
        <v>52</v>
      </c>
      <c r="H256" s="9" t="s">
        <v>571</v>
      </c>
      <c r="I256" s="12" t="s">
        <v>140</v>
      </c>
      <c r="J256" s="12" t="s">
        <v>53</v>
      </c>
      <c r="K256" s="12" t="s">
        <v>53</v>
      </c>
      <c r="L256" s="12" t="s">
        <v>133</v>
      </c>
      <c r="M256" s="12">
        <v>28</v>
      </c>
      <c r="N256" s="9" t="s">
        <v>55</v>
      </c>
      <c r="O256" s="13" t="s">
        <v>33</v>
      </c>
      <c r="P256" s="14" t="s">
        <v>129</v>
      </c>
      <c r="Q256" s="9" t="s">
        <v>130</v>
      </c>
      <c r="R256" s="9">
        <v>20</v>
      </c>
      <c r="S256" s="9" t="s">
        <v>131</v>
      </c>
      <c r="T256" s="9">
        <v>8.1999999999999993</v>
      </c>
      <c r="U256" s="9">
        <v>5.9020000000000001</v>
      </c>
      <c r="V256" s="9" t="s">
        <v>134</v>
      </c>
      <c r="W256" s="9" t="s">
        <v>37</v>
      </c>
      <c r="X256" s="9">
        <v>7.67</v>
      </c>
      <c r="Y256" s="9">
        <v>0.13</v>
      </c>
      <c r="Z256" s="15">
        <f t="shared" si="340"/>
        <v>0.4284575216169903</v>
      </c>
      <c r="AA256" s="15">
        <f t="shared" si="354"/>
        <v>0.27283983066500583</v>
      </c>
      <c r="AB256" t="s">
        <v>577</v>
      </c>
      <c r="AC256" s="16">
        <f t="shared" si="341"/>
        <v>0.30760968147407108</v>
      </c>
      <c r="AD256" s="26">
        <f t="shared" si="342"/>
        <v>3.2508729738543409</v>
      </c>
      <c r="AE256" s="51">
        <v>27</v>
      </c>
      <c r="AF256" s="85" t="str">
        <f t="shared" si="343"/>
        <v>IC10</v>
      </c>
      <c r="AG256" s="9">
        <f t="shared" si="344"/>
        <v>1</v>
      </c>
      <c r="AH256" s="18">
        <f t="shared" si="345"/>
        <v>0.27283983066500583</v>
      </c>
      <c r="AI256" s="88" t="str">
        <f t="shared" si="346"/>
        <v>Chronic</v>
      </c>
      <c r="AJ256" s="9">
        <f t="shared" si="347"/>
        <v>1</v>
      </c>
      <c r="AK256" s="18">
        <f t="shared" si="348"/>
        <v>0.27283983066500583</v>
      </c>
      <c r="AL256" s="16"/>
      <c r="AM256" s="110" t="str">
        <f t="shared" si="349"/>
        <v>IC10</v>
      </c>
      <c r="AN256" s="111" t="s">
        <v>356</v>
      </c>
      <c r="AO256" s="112" t="str">
        <f t="shared" si="350"/>
        <v>Chronic</v>
      </c>
      <c r="AP256" s="111" t="str">
        <f t="shared" si="355"/>
        <v>y</v>
      </c>
      <c r="AQ256" s="134" t="str">
        <f t="shared" si="351"/>
        <v>Mortality</v>
      </c>
      <c r="AR256" s="199" t="s">
        <v>459</v>
      </c>
      <c r="AS256" s="114">
        <f t="shared" si="352"/>
        <v>28</v>
      </c>
      <c r="AT256" s="199" t="s">
        <v>460</v>
      </c>
      <c r="AU256" s="200"/>
      <c r="AV256" s="152">
        <f t="shared" si="358"/>
        <v>0.27283983066500583</v>
      </c>
      <c r="AW256" s="140">
        <f>GEOMEAN(AV255:AV256)</f>
        <v>0.5837094014385652</v>
      </c>
      <c r="AX256" s="141">
        <f>MIN(AW256)</f>
        <v>0.5837094014385652</v>
      </c>
      <c r="AY256" s="142">
        <f>MIN(AX256:AX256)</f>
        <v>0.5837094014385652</v>
      </c>
    </row>
    <row r="257" spans="1:52" x14ac:dyDescent="0.2">
      <c r="A257" s="32" t="s">
        <v>148</v>
      </c>
      <c r="B257" s="33">
        <v>256</v>
      </c>
      <c r="C257" s="38" t="s">
        <v>24</v>
      </c>
      <c r="D257" s="35" t="s">
        <v>149</v>
      </c>
      <c r="E257" s="33" t="s">
        <v>121</v>
      </c>
      <c r="F257" s="33" t="s">
        <v>127</v>
      </c>
      <c r="G257" s="33" t="s">
        <v>52</v>
      </c>
      <c r="H257" s="33" t="s">
        <v>571</v>
      </c>
      <c r="I257" s="33" t="s">
        <v>37</v>
      </c>
      <c r="J257" s="36" t="s">
        <v>53</v>
      </c>
      <c r="K257" s="36" t="s">
        <v>53</v>
      </c>
      <c r="L257" s="36" t="s">
        <v>54</v>
      </c>
      <c r="M257" s="36">
        <v>6</v>
      </c>
      <c r="N257" s="33" t="s">
        <v>102</v>
      </c>
      <c r="O257" s="37" t="s">
        <v>33</v>
      </c>
      <c r="P257" s="38" t="s">
        <v>150</v>
      </c>
      <c r="Q257" s="33" t="s">
        <v>151</v>
      </c>
      <c r="R257" s="33">
        <v>21.8</v>
      </c>
      <c r="S257" s="33" t="s">
        <v>152</v>
      </c>
      <c r="T257" s="33">
        <v>7.8</v>
      </c>
      <c r="U257" s="33">
        <v>2.7679999999999998</v>
      </c>
      <c r="V257" s="33" t="s">
        <v>37</v>
      </c>
      <c r="W257" s="33">
        <v>30</v>
      </c>
      <c r="X257" s="33">
        <v>30</v>
      </c>
      <c r="Y257" s="40">
        <f t="shared" ref="Y257" si="359">X257/((U257/100)*1000)</f>
        <v>1.0838150289017343</v>
      </c>
      <c r="Z257" s="40">
        <f t="shared" si="340"/>
        <v>2.0127302212112239</v>
      </c>
      <c r="AA257" s="40">
        <f t="shared" si="354"/>
        <v>1.4394134869091242</v>
      </c>
      <c r="AB257" s="16"/>
      <c r="AC257" s="16">
        <f t="shared" si="341"/>
        <v>0.77268058509570214</v>
      </c>
      <c r="AD257" s="26">
        <f t="shared" si="342"/>
        <v>1.2941958414499863</v>
      </c>
      <c r="AE257" s="51">
        <v>27</v>
      </c>
      <c r="AF257" s="85" t="str">
        <f t="shared" si="343"/>
        <v>NOEC</v>
      </c>
      <c r="AG257" s="9">
        <f t="shared" si="344"/>
        <v>1</v>
      </c>
      <c r="AH257" s="18">
        <f t="shared" si="345"/>
        <v>1.4394134869091242</v>
      </c>
      <c r="AI257" s="88" t="str">
        <f t="shared" si="346"/>
        <v>Chronic</v>
      </c>
      <c r="AJ257" s="9">
        <f t="shared" si="347"/>
        <v>1</v>
      </c>
      <c r="AK257" s="18">
        <f t="shared" si="348"/>
        <v>1.4394134869091242</v>
      </c>
      <c r="AL257" s="16"/>
      <c r="AM257" s="101" t="str">
        <f t="shared" si="349"/>
        <v>NOEC</v>
      </c>
      <c r="AN257" s="102" t="s">
        <v>356</v>
      </c>
      <c r="AO257" s="103" t="str">
        <f t="shared" si="350"/>
        <v>Chronic</v>
      </c>
      <c r="AP257" s="102" t="str">
        <f t="shared" si="355"/>
        <v>y</v>
      </c>
      <c r="AQ257" s="104" t="str">
        <f t="shared" si="351"/>
        <v>Mortality</v>
      </c>
      <c r="AR257" s="102" t="s">
        <v>459</v>
      </c>
      <c r="AS257" s="105">
        <f t="shared" si="352"/>
        <v>6</v>
      </c>
      <c r="AT257" s="102" t="s">
        <v>460</v>
      </c>
      <c r="AU257" s="102"/>
      <c r="AV257" s="154">
        <f t="shared" si="358"/>
        <v>1.4394134869091242</v>
      </c>
      <c r="AW257" s="118">
        <f>GEOMEAN(AV257)</f>
        <v>1.4394134869091242</v>
      </c>
      <c r="AX257" s="119">
        <f>MIN(AW257:AW257)</f>
        <v>1.4394134869091242</v>
      </c>
      <c r="AY257" s="126">
        <f>MIN(AX257)</f>
        <v>1.4394134869091242</v>
      </c>
    </row>
    <row r="258" spans="1:52" x14ac:dyDescent="0.2">
      <c r="A258" s="8" t="s">
        <v>168</v>
      </c>
      <c r="B258" s="9">
        <v>242</v>
      </c>
      <c r="C258" s="10" t="s">
        <v>24</v>
      </c>
      <c r="D258" s="11" t="s">
        <v>155</v>
      </c>
      <c r="E258" s="9" t="s">
        <v>121</v>
      </c>
      <c r="F258" s="9" t="s">
        <v>127</v>
      </c>
      <c r="G258" s="9" t="s">
        <v>52</v>
      </c>
      <c r="H258" s="9" t="s">
        <v>571</v>
      </c>
      <c r="I258" s="12" t="s">
        <v>156</v>
      </c>
      <c r="J258" s="12" t="s">
        <v>136</v>
      </c>
      <c r="K258" s="12" t="s">
        <v>169</v>
      </c>
      <c r="L258" s="12" t="s">
        <v>54</v>
      </c>
      <c r="M258" s="12">
        <v>60</v>
      </c>
      <c r="N258" s="9" t="s">
        <v>55</v>
      </c>
      <c r="O258" s="13" t="s">
        <v>33</v>
      </c>
      <c r="P258" s="14" t="s">
        <v>157</v>
      </c>
      <c r="Q258" s="9">
        <v>20</v>
      </c>
      <c r="R258" s="9">
        <v>20</v>
      </c>
      <c r="S258" s="28" t="s">
        <v>158</v>
      </c>
      <c r="T258" s="28">
        <v>7.73</v>
      </c>
      <c r="U258" s="26" t="s">
        <v>170</v>
      </c>
      <c r="V258" s="9">
        <v>0.65</v>
      </c>
      <c r="W258" s="9">
        <v>12</v>
      </c>
      <c r="X258" s="9">
        <v>12</v>
      </c>
      <c r="Y258" s="9">
        <v>0.65</v>
      </c>
      <c r="Z258" s="15">
        <f t="shared" si="340"/>
        <v>1.1105489745328638</v>
      </c>
      <c r="AA258" s="15">
        <f t="shared" si="354"/>
        <v>0.70719261273140677</v>
      </c>
      <c r="AC258" s="16">
        <f t="shared" si="341"/>
        <v>0.90782053017818432</v>
      </c>
      <c r="AD258" s="26">
        <f t="shared" si="342"/>
        <v>1.1015393095414168</v>
      </c>
      <c r="AE258" s="51">
        <v>27</v>
      </c>
      <c r="AF258" s="85" t="str">
        <f t="shared" si="343"/>
        <v>NOEC</v>
      </c>
      <c r="AG258" s="9">
        <f t="shared" si="344"/>
        <v>1</v>
      </c>
      <c r="AH258" s="18">
        <f t="shared" si="345"/>
        <v>0.70719261273140677</v>
      </c>
      <c r="AI258" s="88" t="str">
        <f t="shared" si="346"/>
        <v>Chronic</v>
      </c>
      <c r="AJ258" s="9">
        <f t="shared" si="347"/>
        <v>1</v>
      </c>
      <c r="AK258" s="18">
        <f t="shared" si="348"/>
        <v>0.70719261273140677</v>
      </c>
      <c r="AL258" s="16"/>
      <c r="AM258" s="110" t="str">
        <f t="shared" si="349"/>
        <v>NOEC</v>
      </c>
      <c r="AN258" s="111" t="s">
        <v>356</v>
      </c>
      <c r="AO258" s="112" t="str">
        <f t="shared" si="350"/>
        <v>Chronic</v>
      </c>
      <c r="AP258" s="111" t="str">
        <f t="shared" si="355"/>
        <v>y</v>
      </c>
      <c r="AQ258" s="134" t="str">
        <f t="shared" si="351"/>
        <v>Length</v>
      </c>
      <c r="AR258" s="111" t="s">
        <v>475</v>
      </c>
      <c r="AS258" s="114">
        <f t="shared" si="352"/>
        <v>60</v>
      </c>
      <c r="AT258" s="111" t="s">
        <v>476</v>
      </c>
      <c r="AU258" s="111"/>
      <c r="AV258" s="152">
        <f t="shared" si="358"/>
        <v>0.70719261273140677</v>
      </c>
      <c r="AW258" s="140">
        <f>GEOMEAN(AV258)</f>
        <v>0.70719261273140677</v>
      </c>
      <c r="AX258" s="141">
        <f>MIN(AW258)</f>
        <v>0.70719261273140677</v>
      </c>
      <c r="AY258" s="142">
        <f>MIN(AX258:AX258)</f>
        <v>0.70719261273140677</v>
      </c>
    </row>
    <row r="259" spans="1:52" x14ac:dyDescent="0.2">
      <c r="A259" s="32" t="s">
        <v>176</v>
      </c>
      <c r="B259" s="33">
        <v>254</v>
      </c>
      <c r="C259" s="34" t="s">
        <v>24</v>
      </c>
      <c r="D259" s="35" t="s">
        <v>172</v>
      </c>
      <c r="E259" s="33" t="s">
        <v>121</v>
      </c>
      <c r="F259" s="33" t="s">
        <v>127</v>
      </c>
      <c r="G259" s="33" t="s">
        <v>52</v>
      </c>
      <c r="H259" s="33" t="s">
        <v>571</v>
      </c>
      <c r="I259" s="36" t="s">
        <v>128</v>
      </c>
      <c r="J259" s="36" t="s">
        <v>177</v>
      </c>
      <c r="K259" s="36" t="s">
        <v>137</v>
      </c>
      <c r="L259" s="36" t="s">
        <v>133</v>
      </c>
      <c r="M259" s="36">
        <v>28</v>
      </c>
      <c r="N259" s="33" t="s">
        <v>55</v>
      </c>
      <c r="O259" s="37" t="s">
        <v>33</v>
      </c>
      <c r="P259" s="38" t="s">
        <v>129</v>
      </c>
      <c r="Q259" s="33" t="s">
        <v>130</v>
      </c>
      <c r="R259" s="33">
        <v>20</v>
      </c>
      <c r="S259" s="33" t="s">
        <v>131</v>
      </c>
      <c r="T259" s="33">
        <v>8.1999999999999993</v>
      </c>
      <c r="U259" s="33">
        <v>5.9020000000000001</v>
      </c>
      <c r="V259" s="33" t="s">
        <v>175</v>
      </c>
      <c r="W259" s="33" t="s">
        <v>37</v>
      </c>
      <c r="X259" s="33">
        <v>23.6</v>
      </c>
      <c r="Y259" s="33">
        <v>0.4</v>
      </c>
      <c r="Z259" s="40">
        <f t="shared" si="340"/>
        <v>1.3183308357445855</v>
      </c>
      <c r="AA259" s="40">
        <f t="shared" si="354"/>
        <v>0.8395071712769413</v>
      </c>
      <c r="AB259" t="s">
        <v>577</v>
      </c>
      <c r="AC259" s="16">
        <f t="shared" si="341"/>
        <v>0.30760968147407108</v>
      </c>
      <c r="AD259" s="26">
        <f t="shared" si="342"/>
        <v>3.2508729738543409</v>
      </c>
      <c r="AE259" s="51">
        <v>27</v>
      </c>
      <c r="AF259" s="85" t="str">
        <f t="shared" si="343"/>
        <v>IC10</v>
      </c>
      <c r="AG259" s="9">
        <f t="shared" si="344"/>
        <v>1</v>
      </c>
      <c r="AH259" s="18">
        <f t="shared" si="345"/>
        <v>0.8395071712769413</v>
      </c>
      <c r="AI259" s="88" t="str">
        <f t="shared" si="346"/>
        <v>Chronic</v>
      </c>
      <c r="AJ259" s="9">
        <f t="shared" si="347"/>
        <v>1</v>
      </c>
      <c r="AK259" s="18">
        <f t="shared" si="348"/>
        <v>0.8395071712769413</v>
      </c>
      <c r="AL259" s="16"/>
      <c r="AM259" s="110" t="str">
        <f t="shared" si="349"/>
        <v>IC10</v>
      </c>
      <c r="AN259" s="111" t="s">
        <v>356</v>
      </c>
      <c r="AO259" s="112" t="str">
        <f t="shared" si="350"/>
        <v>Chronic</v>
      </c>
      <c r="AP259" s="111" t="str">
        <f t="shared" si="355"/>
        <v>y</v>
      </c>
      <c r="AQ259" s="134" t="str">
        <f t="shared" si="351"/>
        <v>Shell length</v>
      </c>
      <c r="AR259" s="111" t="s">
        <v>473</v>
      </c>
      <c r="AS259" s="114">
        <f t="shared" si="352"/>
        <v>28</v>
      </c>
      <c r="AT259" s="111" t="s">
        <v>474</v>
      </c>
      <c r="AU259" s="111"/>
      <c r="AV259" s="152">
        <f>AK259</f>
        <v>0.8395071712769413</v>
      </c>
      <c r="AW259" s="140">
        <f>GEOMEAN(AV259)</f>
        <v>0.8395071712769413</v>
      </c>
      <c r="AX259" s="141">
        <f>MIN(AW259)</f>
        <v>0.8395071712769413</v>
      </c>
      <c r="AY259" s="142">
        <f>MIN(AX259:AX259)</f>
        <v>0.8395071712769413</v>
      </c>
    </row>
    <row r="260" spans="1:52" x14ac:dyDescent="0.2">
      <c r="A260" s="193" t="s">
        <v>615</v>
      </c>
    </row>
    <row r="261" spans="1:52" x14ac:dyDescent="0.2">
      <c r="A261" s="32" t="s">
        <v>48</v>
      </c>
      <c r="B261" s="33">
        <v>236</v>
      </c>
      <c r="C261" s="34" t="s">
        <v>24</v>
      </c>
      <c r="D261" s="35" t="s">
        <v>49</v>
      </c>
      <c r="E261" s="33" t="s">
        <v>50</v>
      </c>
      <c r="F261" s="33" t="s">
        <v>51</v>
      </c>
      <c r="G261" s="33" t="s">
        <v>52</v>
      </c>
      <c r="H261" s="33" t="s">
        <v>571</v>
      </c>
      <c r="I261" s="36" t="s">
        <v>37</v>
      </c>
      <c r="J261" s="36" t="s">
        <v>53</v>
      </c>
      <c r="K261" s="36" t="s">
        <v>53</v>
      </c>
      <c r="L261" s="36" t="s">
        <v>54</v>
      </c>
      <c r="M261" s="36">
        <v>30</v>
      </c>
      <c r="N261" s="33" t="s">
        <v>55</v>
      </c>
      <c r="O261" s="37" t="s">
        <v>33</v>
      </c>
      <c r="P261" s="38" t="s">
        <v>56</v>
      </c>
      <c r="Q261" s="33" t="s">
        <v>57</v>
      </c>
      <c r="R261" s="40">
        <v>15.1</v>
      </c>
      <c r="S261" s="33" t="s">
        <v>58</v>
      </c>
      <c r="T261" s="33">
        <v>8.11</v>
      </c>
      <c r="U261" s="33">
        <v>3.42</v>
      </c>
      <c r="V261" s="33" t="s">
        <v>37</v>
      </c>
      <c r="W261" s="33">
        <v>20</v>
      </c>
      <c r="X261" s="40">
        <v>20</v>
      </c>
      <c r="Y261" s="40">
        <f t="shared" ref="Y261:Y265" si="360">X261/((U261/100)*1000)</f>
        <v>0.58479532163742687</v>
      </c>
      <c r="Z261" s="40">
        <f t="shared" ref="Z261:Z274" si="361">Y261/((0.0278/(1+AC261))+(1.1994/(1+AD261)))</f>
        <v>1.6734482467670493</v>
      </c>
      <c r="AA261" s="40">
        <f>POWER(10,LOG(Z261)-(-0.028*(R261-AE261)))</f>
        <v>0.72847103090061871</v>
      </c>
      <c r="AC261" s="16">
        <f t="shared" ref="AC261:AC274" si="362">POWER(10,7.688-T261)</f>
        <v>0.37844258471709358</v>
      </c>
      <c r="AD261" s="26">
        <f t="shared" ref="AD261:AD274" si="363">POWER(10,T261-7.688)</f>
        <v>2.6424087573219448</v>
      </c>
      <c r="AE261" s="51">
        <v>28</v>
      </c>
      <c r="AF261" s="85" t="str">
        <f t="shared" ref="AF261:AF274" si="364">L261</f>
        <v>NOEC</v>
      </c>
      <c r="AG261" s="9">
        <f t="shared" ref="AG261:AG274" si="365">VLOOKUP(AF261,$BD$6:$BE$17,2,FALSE)</f>
        <v>1</v>
      </c>
      <c r="AH261" s="18">
        <f t="shared" ref="AH261:AH274" si="366">AA261/AG261</f>
        <v>0.72847103090061871</v>
      </c>
      <c r="AI261" s="88" t="str">
        <f t="shared" ref="AI261:AI274" si="367">O261</f>
        <v>Chronic</v>
      </c>
      <c r="AJ261" s="9">
        <f t="shared" ref="AJ261:AJ274" si="368">VLOOKUP(AI261,$BD$19:$BF$20,2,FALSE)</f>
        <v>1</v>
      </c>
      <c r="AK261" s="18">
        <f t="shared" ref="AK261:AK274" si="369">AH261/AJ261</f>
        <v>0.72847103090061871</v>
      </c>
      <c r="AL261" s="16"/>
      <c r="AM261" s="127" t="str">
        <f t="shared" ref="AM261:AM274" si="370">L261</f>
        <v>NOEC</v>
      </c>
      <c r="AN261" s="128" t="s">
        <v>356</v>
      </c>
      <c r="AO261" s="129" t="str">
        <f t="shared" ref="AO261:AO274" si="371">O261</f>
        <v>Chronic</v>
      </c>
      <c r="AP261" s="128" t="str">
        <f>IF(AO261="chronic","y","n")</f>
        <v>y</v>
      </c>
      <c r="AQ261" s="130" t="str">
        <f t="shared" ref="AQ261:AQ274" si="372">K261</f>
        <v>Mortality</v>
      </c>
      <c r="AR261" s="128" t="s">
        <v>459</v>
      </c>
      <c r="AS261" s="131">
        <f t="shared" ref="AS261:AS274" si="373">M261</f>
        <v>30</v>
      </c>
      <c r="AT261" s="128" t="s">
        <v>460</v>
      </c>
      <c r="AU261" s="128"/>
      <c r="AV261" s="189">
        <f t="shared" ref="AV261:AV267" si="374">AK261</f>
        <v>0.72847103090061871</v>
      </c>
      <c r="AW261" s="190">
        <f>GEOMEAN(AV261)</f>
        <v>0.72847103090061871</v>
      </c>
      <c r="AX261" s="191">
        <f>MIN(AW261)</f>
        <v>0.72847103090061871</v>
      </c>
      <c r="AY261" s="192">
        <f>MIN(AX261)</f>
        <v>0.72847103090061871</v>
      </c>
      <c r="AZ261" s="206" t="str">
        <f>A260</f>
        <v>28°C</v>
      </c>
    </row>
    <row r="262" spans="1:52" x14ac:dyDescent="0.2">
      <c r="A262" s="19" t="s">
        <v>59</v>
      </c>
      <c r="B262" s="9">
        <v>245</v>
      </c>
      <c r="C262" s="10" t="s">
        <v>24</v>
      </c>
      <c r="D262" s="11" t="s">
        <v>60</v>
      </c>
      <c r="E262" s="20" t="s">
        <v>61</v>
      </c>
      <c r="F262" s="9" t="s">
        <v>62</v>
      </c>
      <c r="G262" s="9" t="s">
        <v>52</v>
      </c>
      <c r="H262" s="9" t="s">
        <v>571</v>
      </c>
      <c r="I262" s="12" t="s">
        <v>63</v>
      </c>
      <c r="J262" s="12" t="s">
        <v>64</v>
      </c>
      <c r="K262" s="12" t="s">
        <v>64</v>
      </c>
      <c r="L262" s="12" t="s">
        <v>54</v>
      </c>
      <c r="M262" s="12">
        <v>7</v>
      </c>
      <c r="N262" s="9" t="s">
        <v>55</v>
      </c>
      <c r="O262" s="21" t="s">
        <v>33</v>
      </c>
      <c r="P262" s="14" t="s">
        <v>65</v>
      </c>
      <c r="Q262" s="9">
        <v>25</v>
      </c>
      <c r="R262" s="9">
        <v>25</v>
      </c>
      <c r="S262" s="22">
        <v>8</v>
      </c>
      <c r="T262" s="22">
        <v>8</v>
      </c>
      <c r="U262" s="20">
        <v>5.3659999999999997</v>
      </c>
      <c r="V262" s="20" t="s">
        <v>37</v>
      </c>
      <c r="W262" s="20">
        <v>680</v>
      </c>
      <c r="X262" s="9">
        <v>680</v>
      </c>
      <c r="Y262" s="27">
        <f t="shared" si="360"/>
        <v>12.672381662318301</v>
      </c>
      <c r="Z262" s="15">
        <f t="shared" si="361"/>
        <v>30.774279778328605</v>
      </c>
      <c r="AA262" s="15">
        <f t="shared" ref="AA262:AA274" si="375">POWER(10,LOG(Z262)-(-0.028*(R262-AE262)))</f>
        <v>25.362256927394487</v>
      </c>
      <c r="AC262" s="16">
        <f t="shared" si="362"/>
        <v>0.48752849010338595</v>
      </c>
      <c r="AD262" s="26">
        <f t="shared" si="363"/>
        <v>2.051162178825567</v>
      </c>
      <c r="AE262" s="51">
        <v>28</v>
      </c>
      <c r="AF262" s="85" t="str">
        <f t="shared" si="364"/>
        <v>NOEC</v>
      </c>
      <c r="AG262" s="9">
        <f t="shared" si="365"/>
        <v>1</v>
      </c>
      <c r="AH262" s="18">
        <f t="shared" si="366"/>
        <v>25.362256927394487</v>
      </c>
      <c r="AI262" s="88" t="str">
        <f t="shared" si="367"/>
        <v>Chronic</v>
      </c>
      <c r="AJ262" s="9">
        <f t="shared" si="368"/>
        <v>1</v>
      </c>
      <c r="AK262" s="18">
        <f t="shared" si="369"/>
        <v>25.362256927394487</v>
      </c>
      <c r="AL262" s="16"/>
      <c r="AM262" s="101" t="str">
        <f t="shared" si="370"/>
        <v>NOEC</v>
      </c>
      <c r="AN262" s="102" t="s">
        <v>356</v>
      </c>
      <c r="AO262" s="103" t="str">
        <f t="shared" si="371"/>
        <v>Chronic</v>
      </c>
      <c r="AP262" s="102" t="str">
        <f t="shared" ref="AP262:AP274" si="376">IF(AO262="chronic","y","n")</f>
        <v>y</v>
      </c>
      <c r="AQ262" s="104" t="str">
        <f t="shared" si="372"/>
        <v>Reproduction</v>
      </c>
      <c r="AR262" s="102" t="s">
        <v>459</v>
      </c>
      <c r="AS262" s="105">
        <f t="shared" si="373"/>
        <v>7</v>
      </c>
      <c r="AT262" s="102" t="s">
        <v>460</v>
      </c>
      <c r="AU262" s="102"/>
      <c r="AV262" s="106">
        <f t="shared" si="374"/>
        <v>25.362256927394487</v>
      </c>
      <c r="AW262" s="107">
        <f>GEOMEAN(AV262:AV262)</f>
        <v>25.362256927394487</v>
      </c>
      <c r="AX262" s="108">
        <f>MIN(AW262:AW262)</f>
        <v>25.362256927394487</v>
      </c>
      <c r="AY262" s="109">
        <f>MIN(AX262)</f>
        <v>25.362256927394487</v>
      </c>
    </row>
    <row r="263" spans="1:52" x14ac:dyDescent="0.2">
      <c r="A263" s="32" t="s">
        <v>82</v>
      </c>
      <c r="B263" s="33">
        <v>240</v>
      </c>
      <c r="C263" s="34" t="s">
        <v>24</v>
      </c>
      <c r="D263" s="35" t="s">
        <v>77</v>
      </c>
      <c r="E263" s="33" t="s">
        <v>61</v>
      </c>
      <c r="F263" s="33" t="s">
        <v>62</v>
      </c>
      <c r="G263" s="33" t="s">
        <v>52</v>
      </c>
      <c r="H263" s="33" t="s">
        <v>571</v>
      </c>
      <c r="I263" s="36" t="s">
        <v>78</v>
      </c>
      <c r="J263" s="36" t="s">
        <v>83</v>
      </c>
      <c r="K263" s="36" t="s">
        <v>84</v>
      </c>
      <c r="L263" s="36" t="s">
        <v>54</v>
      </c>
      <c r="M263" s="36">
        <v>21</v>
      </c>
      <c r="N263" s="33" t="s">
        <v>55</v>
      </c>
      <c r="O263" s="37" t="s">
        <v>33</v>
      </c>
      <c r="P263" s="38" t="s">
        <v>79</v>
      </c>
      <c r="Q263" s="33" t="s">
        <v>80</v>
      </c>
      <c r="R263" s="40">
        <v>19.8</v>
      </c>
      <c r="S263" s="33" t="s">
        <v>81</v>
      </c>
      <c r="T263" s="33">
        <v>8.4499999999999993</v>
      </c>
      <c r="U263" s="33">
        <v>9.9039999999999999</v>
      </c>
      <c r="V263" s="44" t="s">
        <v>37</v>
      </c>
      <c r="W263" s="44" t="s">
        <v>37</v>
      </c>
      <c r="X263" s="33">
        <v>420</v>
      </c>
      <c r="Y263" s="40">
        <f t="shared" si="360"/>
        <v>4.2407108239095308</v>
      </c>
      <c r="Z263" s="40">
        <f t="shared" si="361"/>
        <v>21.142464693435951</v>
      </c>
      <c r="AA263" s="40">
        <f t="shared" si="375"/>
        <v>12.461077986508089</v>
      </c>
      <c r="AC263" s="16">
        <f t="shared" si="362"/>
        <v>0.17298163592151028</v>
      </c>
      <c r="AD263" s="26">
        <f t="shared" si="363"/>
        <v>5.7809604740571769</v>
      </c>
      <c r="AE263" s="51">
        <v>28</v>
      </c>
      <c r="AF263" s="85" t="str">
        <f t="shared" si="364"/>
        <v>NOEC</v>
      </c>
      <c r="AG263" s="9">
        <f t="shared" si="365"/>
        <v>1</v>
      </c>
      <c r="AH263" s="18">
        <f t="shared" si="366"/>
        <v>12.461077986508089</v>
      </c>
      <c r="AI263" s="88" t="str">
        <f t="shared" si="367"/>
        <v>Chronic</v>
      </c>
      <c r="AJ263" s="9">
        <f t="shared" si="368"/>
        <v>1</v>
      </c>
      <c r="AK263" s="18">
        <f t="shared" si="369"/>
        <v>12.461077986508089</v>
      </c>
      <c r="AL263" s="16"/>
      <c r="AM263" s="101" t="str">
        <f t="shared" si="370"/>
        <v>NOEC</v>
      </c>
      <c r="AN263" s="102" t="s">
        <v>356</v>
      </c>
      <c r="AO263" s="103" t="str">
        <f t="shared" si="371"/>
        <v>Chronic</v>
      </c>
      <c r="AP263" s="102" t="str">
        <f t="shared" si="376"/>
        <v>y</v>
      </c>
      <c r="AQ263" s="104" t="str">
        <f t="shared" si="372"/>
        <v>Mean total young/daphnid</v>
      </c>
      <c r="AR263" s="102" t="s">
        <v>459</v>
      </c>
      <c r="AS263" s="105">
        <f t="shared" si="373"/>
        <v>21</v>
      </c>
      <c r="AT263" s="102" t="s">
        <v>460</v>
      </c>
      <c r="AU263" s="102"/>
      <c r="AV263" s="147">
        <f t="shared" si="374"/>
        <v>12.461077986508089</v>
      </c>
      <c r="AW263" s="107">
        <f>GEOMEAN(AV263:AV263)</f>
        <v>12.461077986508089</v>
      </c>
      <c r="AX263" s="108">
        <f>MIN(AW263)</f>
        <v>12.461077986508089</v>
      </c>
      <c r="AY263" s="109"/>
    </row>
    <row r="264" spans="1:52" x14ac:dyDescent="0.2">
      <c r="A264" s="32" t="s">
        <v>87</v>
      </c>
      <c r="B264" s="33">
        <v>240</v>
      </c>
      <c r="C264" s="34" t="s">
        <v>24</v>
      </c>
      <c r="D264" s="35" t="s">
        <v>77</v>
      </c>
      <c r="E264" s="33" t="s">
        <v>61</v>
      </c>
      <c r="F264" s="33" t="s">
        <v>62</v>
      </c>
      <c r="G264" s="33" t="s">
        <v>52</v>
      </c>
      <c r="H264" s="33" t="s">
        <v>571</v>
      </c>
      <c r="I264" s="36" t="s">
        <v>78</v>
      </c>
      <c r="J264" s="36" t="s">
        <v>83</v>
      </c>
      <c r="K264" s="36" t="s">
        <v>88</v>
      </c>
      <c r="L264" s="36" t="s">
        <v>54</v>
      </c>
      <c r="M264" s="36">
        <v>21</v>
      </c>
      <c r="N264" s="33" t="s">
        <v>55</v>
      </c>
      <c r="O264" s="37" t="s">
        <v>33</v>
      </c>
      <c r="P264" s="38" t="s">
        <v>79</v>
      </c>
      <c r="Q264" s="33" t="s">
        <v>80</v>
      </c>
      <c r="R264" s="40">
        <v>19.8</v>
      </c>
      <c r="S264" s="33" t="s">
        <v>81</v>
      </c>
      <c r="T264" s="33">
        <v>8.4499999999999993</v>
      </c>
      <c r="U264" s="33">
        <v>9.9039999999999999</v>
      </c>
      <c r="V264" s="44" t="s">
        <v>37</v>
      </c>
      <c r="W264" s="44" t="s">
        <v>37</v>
      </c>
      <c r="X264" s="33">
        <v>420</v>
      </c>
      <c r="Y264" s="40">
        <f t="shared" si="360"/>
        <v>4.2407108239095308</v>
      </c>
      <c r="Z264" s="40">
        <f t="shared" si="361"/>
        <v>21.142464693435951</v>
      </c>
      <c r="AA264" s="40">
        <f t="shared" si="375"/>
        <v>12.461077986508089</v>
      </c>
      <c r="AC264" s="16">
        <f t="shared" si="362"/>
        <v>0.17298163592151028</v>
      </c>
      <c r="AD264" s="26">
        <f t="shared" si="363"/>
        <v>5.7809604740571769</v>
      </c>
      <c r="AE264" s="51">
        <v>28</v>
      </c>
      <c r="AF264" s="85" t="str">
        <f t="shared" si="364"/>
        <v>NOEC</v>
      </c>
      <c r="AG264" s="9">
        <f t="shared" si="365"/>
        <v>1</v>
      </c>
      <c r="AH264" s="18">
        <f t="shared" si="366"/>
        <v>12.461077986508089</v>
      </c>
      <c r="AI264" s="88" t="str">
        <f t="shared" si="367"/>
        <v>Chronic</v>
      </c>
      <c r="AJ264" s="9">
        <f t="shared" si="368"/>
        <v>1</v>
      </c>
      <c r="AK264" s="18">
        <f t="shared" si="369"/>
        <v>12.461077986508089</v>
      </c>
      <c r="AL264" s="16"/>
      <c r="AM264" s="132" t="str">
        <f t="shared" si="370"/>
        <v>NOEC</v>
      </c>
      <c r="AN264" s="67" t="s">
        <v>356</v>
      </c>
      <c r="AO264" s="88" t="str">
        <f t="shared" si="371"/>
        <v>Chronic</v>
      </c>
      <c r="AP264" s="67" t="str">
        <f t="shared" si="376"/>
        <v>y</v>
      </c>
      <c r="AQ264" s="69" t="str">
        <f t="shared" si="372"/>
        <v>Mean brood size/daphnid</v>
      </c>
      <c r="AR264" s="67" t="s">
        <v>475</v>
      </c>
      <c r="AS264" s="70">
        <f t="shared" si="373"/>
        <v>21</v>
      </c>
      <c r="AT264" s="67" t="s">
        <v>476</v>
      </c>
      <c r="AU264" s="67"/>
      <c r="AV264" s="82">
        <f t="shared" si="374"/>
        <v>12.461077986508089</v>
      </c>
      <c r="AW264" s="81">
        <f>GEOMEAN(AV264:AV264)</f>
        <v>12.461077986508089</v>
      </c>
      <c r="AX264" s="78">
        <f>MIN(AW264)</f>
        <v>12.461077986508089</v>
      </c>
      <c r="AY264" s="133"/>
    </row>
    <row r="265" spans="1:52" x14ac:dyDescent="0.2">
      <c r="A265" s="32" t="s">
        <v>89</v>
      </c>
      <c r="B265" s="33">
        <v>240</v>
      </c>
      <c r="C265" s="34" t="s">
        <v>24</v>
      </c>
      <c r="D265" s="35" t="s">
        <v>77</v>
      </c>
      <c r="E265" s="33" t="s">
        <v>61</v>
      </c>
      <c r="F265" s="33" t="s">
        <v>62</v>
      </c>
      <c r="G265" s="33" t="s">
        <v>52</v>
      </c>
      <c r="H265" s="33" t="s">
        <v>571</v>
      </c>
      <c r="I265" s="36" t="s">
        <v>78</v>
      </c>
      <c r="J265" s="36" t="s">
        <v>53</v>
      </c>
      <c r="K265" s="36" t="s">
        <v>53</v>
      </c>
      <c r="L265" s="36" t="s">
        <v>54</v>
      </c>
      <c r="M265" s="36">
        <v>21</v>
      </c>
      <c r="N265" s="33" t="s">
        <v>55</v>
      </c>
      <c r="O265" s="37" t="s">
        <v>33</v>
      </c>
      <c r="P265" s="38" t="s">
        <v>79</v>
      </c>
      <c r="Q265" s="33" t="s">
        <v>80</v>
      </c>
      <c r="R265" s="40">
        <v>19.8</v>
      </c>
      <c r="S265" s="33" t="s">
        <v>81</v>
      </c>
      <c r="T265" s="33">
        <v>8.4499999999999993</v>
      </c>
      <c r="U265" s="33">
        <v>9.9039999999999999</v>
      </c>
      <c r="V265" s="44" t="s">
        <v>37</v>
      </c>
      <c r="W265" s="44" t="s">
        <v>37</v>
      </c>
      <c r="X265" s="33">
        <v>420</v>
      </c>
      <c r="Y265" s="40">
        <f t="shared" si="360"/>
        <v>4.2407108239095308</v>
      </c>
      <c r="Z265" s="40">
        <f t="shared" si="361"/>
        <v>21.142464693435951</v>
      </c>
      <c r="AA265" s="40">
        <f t="shared" si="375"/>
        <v>12.461077986508089</v>
      </c>
      <c r="AC265" s="16">
        <f t="shared" si="362"/>
        <v>0.17298163592151028</v>
      </c>
      <c r="AD265" s="26">
        <f t="shared" si="363"/>
        <v>5.7809604740571769</v>
      </c>
      <c r="AE265" s="51">
        <v>28</v>
      </c>
      <c r="AF265" s="85" t="str">
        <f t="shared" si="364"/>
        <v>NOEC</v>
      </c>
      <c r="AG265" s="9">
        <f t="shared" si="365"/>
        <v>1</v>
      </c>
      <c r="AH265" s="18">
        <f t="shared" si="366"/>
        <v>12.461077986508089</v>
      </c>
      <c r="AI265" s="88" t="str">
        <f t="shared" si="367"/>
        <v>Chronic</v>
      </c>
      <c r="AJ265" s="9">
        <f t="shared" si="368"/>
        <v>1</v>
      </c>
      <c r="AK265" s="18">
        <f t="shared" si="369"/>
        <v>12.461077986508089</v>
      </c>
      <c r="AL265" s="16"/>
      <c r="AM265" s="110" t="str">
        <f t="shared" si="370"/>
        <v>NOEC</v>
      </c>
      <c r="AN265" s="111" t="s">
        <v>356</v>
      </c>
      <c r="AO265" s="112" t="str">
        <f t="shared" si="371"/>
        <v>Chronic</v>
      </c>
      <c r="AP265" s="111" t="str">
        <f t="shared" si="376"/>
        <v>y</v>
      </c>
      <c r="AQ265" s="134" t="str">
        <f t="shared" si="372"/>
        <v>Mortality</v>
      </c>
      <c r="AR265" s="111" t="s">
        <v>55</v>
      </c>
      <c r="AS265" s="114">
        <f t="shared" si="373"/>
        <v>21</v>
      </c>
      <c r="AT265" s="111" t="s">
        <v>477</v>
      </c>
      <c r="AU265" s="111"/>
      <c r="AV265" s="138">
        <f t="shared" si="374"/>
        <v>12.461077986508089</v>
      </c>
      <c r="AW265" s="135">
        <f>GEOMEAN(AV265:AV265)</f>
        <v>12.461077986508089</v>
      </c>
      <c r="AX265" s="136">
        <f>MIN(AW265)</f>
        <v>12.461077986508089</v>
      </c>
      <c r="AY265" s="137">
        <f>MIN(AX263:AX265)</f>
        <v>12.461077986508089</v>
      </c>
    </row>
    <row r="266" spans="1:52" x14ac:dyDescent="0.2">
      <c r="A266" s="19" t="s">
        <v>90</v>
      </c>
      <c r="B266" s="23">
        <v>231</v>
      </c>
      <c r="C266" s="10" t="s">
        <v>24</v>
      </c>
      <c r="D266" s="11" t="s">
        <v>91</v>
      </c>
      <c r="E266" s="9" t="s">
        <v>61</v>
      </c>
      <c r="F266" s="9" t="s">
        <v>92</v>
      </c>
      <c r="G266" s="9" t="s">
        <v>93</v>
      </c>
      <c r="H266" s="9" t="s">
        <v>571</v>
      </c>
      <c r="I266" s="9" t="s">
        <v>94</v>
      </c>
      <c r="J266" s="12" t="s">
        <v>53</v>
      </c>
      <c r="K266" s="12" t="s">
        <v>95</v>
      </c>
      <c r="L266" s="12" t="s">
        <v>54</v>
      </c>
      <c r="M266" s="9">
        <v>29</v>
      </c>
      <c r="N266" s="9" t="s">
        <v>55</v>
      </c>
      <c r="O266" s="9" t="s">
        <v>33</v>
      </c>
      <c r="P266" s="14" t="s">
        <v>96</v>
      </c>
      <c r="Q266" s="23">
        <v>15.8</v>
      </c>
      <c r="R266" s="94">
        <v>15.8</v>
      </c>
      <c r="S266" s="9">
        <v>8.3699999999999992</v>
      </c>
      <c r="T266" s="9">
        <v>8.3699999999999992</v>
      </c>
      <c r="U266" s="9">
        <v>6.3609999999999998</v>
      </c>
      <c r="V266" s="9">
        <v>0.94899999999999995</v>
      </c>
      <c r="W266" s="9">
        <v>66</v>
      </c>
      <c r="X266" s="9">
        <v>66</v>
      </c>
      <c r="Y266" s="9">
        <v>0.94899999999999995</v>
      </c>
      <c r="Z266" s="15">
        <f t="shared" si="361"/>
        <v>4.1349303568432507</v>
      </c>
      <c r="AA266" s="15">
        <f t="shared" si="375"/>
        <v>1.8830775219423941</v>
      </c>
      <c r="AC266" s="16">
        <f t="shared" si="362"/>
        <v>0.20796966871036979</v>
      </c>
      <c r="AD266" s="26">
        <f t="shared" si="363"/>
        <v>4.8083934844972802</v>
      </c>
      <c r="AE266" s="51">
        <v>28</v>
      </c>
      <c r="AF266" s="85" t="str">
        <f t="shared" si="364"/>
        <v>NOEC</v>
      </c>
      <c r="AG266" s="9">
        <f t="shared" si="365"/>
        <v>1</v>
      </c>
      <c r="AH266" s="18">
        <f t="shared" si="366"/>
        <v>1.8830775219423941</v>
      </c>
      <c r="AI266" s="88" t="str">
        <f t="shared" si="367"/>
        <v>Chronic</v>
      </c>
      <c r="AJ266" s="9">
        <f t="shared" si="368"/>
        <v>1</v>
      </c>
      <c r="AK266" s="18">
        <f t="shared" si="369"/>
        <v>1.8830775219423941</v>
      </c>
      <c r="AL266" s="16"/>
      <c r="AM266" s="127" t="str">
        <f t="shared" si="370"/>
        <v>NOEC</v>
      </c>
      <c r="AN266" s="128" t="s">
        <v>356</v>
      </c>
      <c r="AO266" s="129" t="str">
        <f t="shared" si="371"/>
        <v>Chronic</v>
      </c>
      <c r="AP266" s="128" t="str">
        <f t="shared" si="376"/>
        <v>y</v>
      </c>
      <c r="AQ266" s="130" t="str">
        <f t="shared" si="372"/>
        <v>Mortality (of juvenile Deleatidium sp.)</v>
      </c>
      <c r="AR266" s="128" t="s">
        <v>459</v>
      </c>
      <c r="AS266" s="131">
        <f t="shared" si="373"/>
        <v>29</v>
      </c>
      <c r="AT266" s="128" t="s">
        <v>460</v>
      </c>
      <c r="AU266" s="128"/>
      <c r="AV266" s="143">
        <f t="shared" si="374"/>
        <v>1.8830775219423941</v>
      </c>
      <c r="AW266" s="144">
        <f t="shared" ref="AW266:AW267" si="377">GEOMEAN(AV266:AV266)</f>
        <v>1.8830775219423941</v>
      </c>
      <c r="AX266" s="141">
        <f>MIN(AW266)</f>
        <v>1.8830775219423941</v>
      </c>
      <c r="AY266" s="142">
        <f>MIN(AX266:AX266)</f>
        <v>1.8830775219423941</v>
      </c>
    </row>
    <row r="267" spans="1:52" x14ac:dyDescent="0.2">
      <c r="A267" s="32" t="s">
        <v>97</v>
      </c>
      <c r="B267" s="44">
        <v>221</v>
      </c>
      <c r="C267" s="34" t="s">
        <v>24</v>
      </c>
      <c r="D267" s="35" t="s">
        <v>98</v>
      </c>
      <c r="E267" s="33" t="s">
        <v>61</v>
      </c>
      <c r="F267" s="33" t="s">
        <v>99</v>
      </c>
      <c r="G267" s="33" t="s">
        <v>93</v>
      </c>
      <c r="H267" s="33" t="s">
        <v>571</v>
      </c>
      <c r="I267" s="36" t="s">
        <v>100</v>
      </c>
      <c r="J267" s="36" t="s">
        <v>64</v>
      </c>
      <c r="K267" s="44" t="s">
        <v>101</v>
      </c>
      <c r="L267" s="36" t="s">
        <v>54</v>
      </c>
      <c r="M267" s="36">
        <v>10</v>
      </c>
      <c r="N267" s="33" t="s">
        <v>102</v>
      </c>
      <c r="O267" s="33" t="s">
        <v>33</v>
      </c>
      <c r="P267" s="45" t="s">
        <v>103</v>
      </c>
      <c r="Q267" s="44">
        <v>25</v>
      </c>
      <c r="R267" s="44">
        <v>25</v>
      </c>
      <c r="S267" s="33" t="s">
        <v>104</v>
      </c>
      <c r="T267" s="33">
        <v>8.0399999999999991</v>
      </c>
      <c r="U267" s="46">
        <v>5.8536524151080886</v>
      </c>
      <c r="V267" s="33">
        <v>2.5</v>
      </c>
      <c r="W267" s="33" t="s">
        <v>37</v>
      </c>
      <c r="X267" s="39">
        <f t="shared" ref="X267" si="378">(V267)*(U267/100)*1000</f>
        <v>146.3413103777022</v>
      </c>
      <c r="Y267" s="33">
        <v>2.5</v>
      </c>
      <c r="Z267" s="40">
        <f t="shared" si="361"/>
        <v>6.4367096033276967</v>
      </c>
      <c r="AA267" s="40">
        <f t="shared" si="375"/>
        <v>5.3047377193725787</v>
      </c>
      <c r="AC267" s="16">
        <f t="shared" si="362"/>
        <v>0.4446312674691093</v>
      </c>
      <c r="AD267" s="26">
        <f t="shared" si="363"/>
        <v>2.2490546058357781</v>
      </c>
      <c r="AE267" s="51">
        <v>28</v>
      </c>
      <c r="AF267" s="85" t="str">
        <f t="shared" si="364"/>
        <v>NOEC</v>
      </c>
      <c r="AG267" s="9">
        <f t="shared" si="365"/>
        <v>1</v>
      </c>
      <c r="AH267" s="18">
        <f t="shared" si="366"/>
        <v>5.3047377193725787</v>
      </c>
      <c r="AI267" s="88" t="str">
        <f t="shared" si="367"/>
        <v>Chronic</v>
      </c>
      <c r="AJ267" s="9">
        <f t="shared" si="368"/>
        <v>1</v>
      </c>
      <c r="AK267" s="18">
        <f t="shared" si="369"/>
        <v>5.3047377193725787</v>
      </c>
      <c r="AL267" s="16"/>
      <c r="AM267" s="101" t="str">
        <f t="shared" si="370"/>
        <v>NOEC</v>
      </c>
      <c r="AN267" s="102" t="s">
        <v>356</v>
      </c>
      <c r="AO267" s="103" t="str">
        <f t="shared" si="371"/>
        <v>Chronic</v>
      </c>
      <c r="AP267" s="102" t="str">
        <f t="shared" si="376"/>
        <v>y</v>
      </c>
      <c r="AQ267" s="104" t="str">
        <f t="shared" si="372"/>
        <v>Reproduction (average young per replicate)</v>
      </c>
      <c r="AR267" s="102" t="s">
        <v>459</v>
      </c>
      <c r="AS267" s="105">
        <f t="shared" si="373"/>
        <v>10</v>
      </c>
      <c r="AT267" s="102" t="s">
        <v>460</v>
      </c>
      <c r="AU267" s="102"/>
      <c r="AV267" s="147">
        <f t="shared" si="374"/>
        <v>5.3047377193725787</v>
      </c>
      <c r="AW267" s="118">
        <f t="shared" si="377"/>
        <v>5.3047377193725787</v>
      </c>
      <c r="AX267" s="73">
        <f>MIN(AW267:AW267)</f>
        <v>5.3047377193725787</v>
      </c>
      <c r="AY267" s="126">
        <f>MIN(AX267:AX267)</f>
        <v>5.3047377193725787</v>
      </c>
    </row>
    <row r="268" spans="1:52" x14ac:dyDescent="0.2">
      <c r="A268" s="19" t="s">
        <v>119</v>
      </c>
      <c r="B268" s="9">
        <v>235</v>
      </c>
      <c r="C268" s="10" t="s">
        <v>24</v>
      </c>
      <c r="D268" s="11" t="s">
        <v>120</v>
      </c>
      <c r="E268" s="9" t="s">
        <v>121</v>
      </c>
      <c r="F268" s="9" t="s">
        <v>122</v>
      </c>
      <c r="G268" s="9" t="s">
        <v>52</v>
      </c>
      <c r="H268" s="9" t="s">
        <v>571</v>
      </c>
      <c r="I268" s="12" t="s">
        <v>37</v>
      </c>
      <c r="J268" s="12" t="s">
        <v>123</v>
      </c>
      <c r="K268" s="12" t="s">
        <v>123</v>
      </c>
      <c r="L268" s="12" t="s">
        <v>54</v>
      </c>
      <c r="M268" s="12">
        <v>40</v>
      </c>
      <c r="N268" s="9" t="s">
        <v>55</v>
      </c>
      <c r="O268" s="13" t="s">
        <v>33</v>
      </c>
      <c r="P268" s="14" t="s">
        <v>56</v>
      </c>
      <c r="Q268" s="9" t="s">
        <v>438</v>
      </c>
      <c r="R268" s="9">
        <v>15.3</v>
      </c>
      <c r="S268" s="9" t="s">
        <v>124</v>
      </c>
      <c r="T268" s="9">
        <v>8.1</v>
      </c>
      <c r="U268" s="9">
        <v>3.3940000000000001</v>
      </c>
      <c r="V268" s="18">
        <v>2.1</v>
      </c>
      <c r="W268" s="9">
        <v>70</v>
      </c>
      <c r="X268" s="9">
        <v>70</v>
      </c>
      <c r="Y268" s="18">
        <v>2.1</v>
      </c>
      <c r="Z268" s="15">
        <f t="shared" si="361"/>
        <v>5.9178920071141139</v>
      </c>
      <c r="AA268" s="15">
        <f t="shared" si="375"/>
        <v>2.6095584911237433</v>
      </c>
      <c r="AC268" s="16">
        <f t="shared" si="362"/>
        <v>0.38725764492161724</v>
      </c>
      <c r="AD268" s="26">
        <f t="shared" si="363"/>
        <v>2.5822601906345959</v>
      </c>
      <c r="AE268" s="51">
        <v>28</v>
      </c>
      <c r="AF268" s="85" t="str">
        <f t="shared" si="364"/>
        <v>NOEC</v>
      </c>
      <c r="AG268" s="9">
        <f t="shared" si="365"/>
        <v>1</v>
      </c>
      <c r="AH268" s="18">
        <f t="shared" si="366"/>
        <v>2.6095584911237433</v>
      </c>
      <c r="AI268" s="88" t="str">
        <f t="shared" si="367"/>
        <v>Chronic</v>
      </c>
      <c r="AJ268" s="9">
        <f t="shared" si="368"/>
        <v>1</v>
      </c>
      <c r="AK268" s="18">
        <f t="shared" si="369"/>
        <v>2.6095584911237433</v>
      </c>
      <c r="AL268" s="16"/>
      <c r="AM268" s="127" t="str">
        <f t="shared" si="370"/>
        <v>NOEC</v>
      </c>
      <c r="AN268" s="128" t="s">
        <v>356</v>
      </c>
      <c r="AO268" s="129" t="str">
        <f t="shared" si="371"/>
        <v>Chronic</v>
      </c>
      <c r="AP268" s="128" t="str">
        <f t="shared" si="376"/>
        <v>y</v>
      </c>
      <c r="AQ268" s="130" t="str">
        <f t="shared" si="372"/>
        <v>Immobility</v>
      </c>
      <c r="AR268" s="128" t="s">
        <v>459</v>
      </c>
      <c r="AS268" s="131">
        <f t="shared" si="373"/>
        <v>40</v>
      </c>
      <c r="AT268" s="128" t="s">
        <v>460</v>
      </c>
      <c r="AU268" s="128"/>
      <c r="AV268" s="143">
        <f>AK268</f>
        <v>2.6095584911237433</v>
      </c>
      <c r="AW268" s="144">
        <f>GEOMEAN(AV268:AV268)</f>
        <v>2.6095584911237433</v>
      </c>
      <c r="AX268" s="148">
        <f>MIN(AW268)</f>
        <v>2.6095584911237433</v>
      </c>
      <c r="AY268" s="149">
        <f>MIN(AX268)</f>
        <v>2.6095584911237433</v>
      </c>
    </row>
    <row r="269" spans="1:52" x14ac:dyDescent="0.2">
      <c r="A269" s="32" t="s">
        <v>132</v>
      </c>
      <c r="B269" s="33">
        <v>254</v>
      </c>
      <c r="C269" s="34" t="s">
        <v>24</v>
      </c>
      <c r="D269" s="35" t="s">
        <v>126</v>
      </c>
      <c r="E269" s="33" t="s">
        <v>121</v>
      </c>
      <c r="F269" s="33" t="s">
        <v>127</v>
      </c>
      <c r="G269" s="33" t="s">
        <v>52</v>
      </c>
      <c r="H269" s="33" t="s">
        <v>571</v>
      </c>
      <c r="I269" s="36" t="s">
        <v>128</v>
      </c>
      <c r="J269" s="36" t="s">
        <v>53</v>
      </c>
      <c r="K269" s="36" t="s">
        <v>53</v>
      </c>
      <c r="L269" s="36" t="s">
        <v>133</v>
      </c>
      <c r="M269" s="36">
        <v>28</v>
      </c>
      <c r="N269" s="33" t="s">
        <v>55</v>
      </c>
      <c r="O269" s="37" t="s">
        <v>33</v>
      </c>
      <c r="P269" s="38" t="s">
        <v>129</v>
      </c>
      <c r="Q269" s="33" t="s">
        <v>130</v>
      </c>
      <c r="R269" s="33">
        <v>20</v>
      </c>
      <c r="S269" s="33" t="s">
        <v>131</v>
      </c>
      <c r="T269" s="33">
        <v>8.1999999999999993</v>
      </c>
      <c r="U269" s="33">
        <v>5.9020000000000001</v>
      </c>
      <c r="V269" s="33" t="s">
        <v>134</v>
      </c>
      <c r="W269" s="33" t="s">
        <v>37</v>
      </c>
      <c r="X269" s="33">
        <v>7.67</v>
      </c>
      <c r="Y269" s="33">
        <v>0.13</v>
      </c>
      <c r="Z269" s="40">
        <f t="shared" si="361"/>
        <v>0.4284575216169903</v>
      </c>
      <c r="AA269" s="40">
        <f t="shared" si="375"/>
        <v>0.25580425920760025</v>
      </c>
      <c r="AB269" t="s">
        <v>577</v>
      </c>
      <c r="AC269" s="16">
        <f t="shared" si="362"/>
        <v>0.30760968147407108</v>
      </c>
      <c r="AD269" s="26">
        <f t="shared" si="363"/>
        <v>3.2508729738543409</v>
      </c>
      <c r="AE269" s="51">
        <v>28</v>
      </c>
      <c r="AF269" s="85" t="str">
        <f t="shared" si="364"/>
        <v>IC10</v>
      </c>
      <c r="AG269" s="9">
        <f t="shared" si="365"/>
        <v>1</v>
      </c>
      <c r="AH269" s="18">
        <f t="shared" si="366"/>
        <v>0.25580425920760025</v>
      </c>
      <c r="AI269" s="88" t="str">
        <f t="shared" si="367"/>
        <v>Chronic</v>
      </c>
      <c r="AJ269" s="9">
        <f t="shared" si="368"/>
        <v>1</v>
      </c>
      <c r="AK269" s="18">
        <f t="shared" si="369"/>
        <v>0.25580425920760025</v>
      </c>
      <c r="AL269" s="16"/>
      <c r="AM269" s="132" t="str">
        <f t="shared" si="370"/>
        <v>IC10</v>
      </c>
      <c r="AN269" s="67" t="s">
        <v>356</v>
      </c>
      <c r="AO269" s="88" t="str">
        <f t="shared" si="371"/>
        <v>Chronic</v>
      </c>
      <c r="AP269" s="67" t="str">
        <f t="shared" si="376"/>
        <v>y</v>
      </c>
      <c r="AQ269" s="69" t="str">
        <f t="shared" si="372"/>
        <v>Mortality</v>
      </c>
      <c r="AR269" s="67" t="s">
        <v>459</v>
      </c>
      <c r="AS269" s="70">
        <f t="shared" si="373"/>
        <v>28</v>
      </c>
      <c r="AT269" s="67" t="s">
        <v>460</v>
      </c>
      <c r="AU269" s="67"/>
      <c r="AV269" s="151">
        <f>AK269</f>
        <v>0.25580425920760025</v>
      </c>
      <c r="AW269" s="95">
        <f>GEOMEAN(AV269:AV269)</f>
        <v>0.25580425920760025</v>
      </c>
      <c r="AX269" s="96">
        <f>MIN(AW269)</f>
        <v>0.25580425920760025</v>
      </c>
      <c r="AY269" s="153">
        <f>MIN(AX269)</f>
        <v>0.25580425920760025</v>
      </c>
    </row>
    <row r="270" spans="1:52" x14ac:dyDescent="0.2">
      <c r="A270" s="19" t="s">
        <v>144</v>
      </c>
      <c r="B270" s="9">
        <v>253</v>
      </c>
      <c r="C270" s="10" t="s">
        <v>24</v>
      </c>
      <c r="D270" s="11" t="s">
        <v>139</v>
      </c>
      <c r="E270" s="9" t="s">
        <v>121</v>
      </c>
      <c r="F270" s="9" t="s">
        <v>127</v>
      </c>
      <c r="G270" s="9" t="s">
        <v>52</v>
      </c>
      <c r="H270" s="9" t="s">
        <v>571</v>
      </c>
      <c r="I270" s="12" t="s">
        <v>140</v>
      </c>
      <c r="J270" s="12" t="s">
        <v>53</v>
      </c>
      <c r="K270" s="12" t="s">
        <v>53</v>
      </c>
      <c r="L270" s="12" t="s">
        <v>31</v>
      </c>
      <c r="M270" s="12">
        <v>28</v>
      </c>
      <c r="N270" s="9" t="s">
        <v>55</v>
      </c>
      <c r="O270" s="13" t="s">
        <v>33</v>
      </c>
      <c r="P270" s="14" t="s">
        <v>141</v>
      </c>
      <c r="Q270" s="9">
        <v>20</v>
      </c>
      <c r="R270" s="9">
        <v>20</v>
      </c>
      <c r="S270" s="9" t="s">
        <v>142</v>
      </c>
      <c r="T270" s="9">
        <v>8.26</v>
      </c>
      <c r="U270" s="9">
        <v>6.718</v>
      </c>
      <c r="V270" s="9">
        <v>0.54</v>
      </c>
      <c r="W270" s="9" t="s">
        <v>37</v>
      </c>
      <c r="X270" s="9">
        <v>36.299999999999997</v>
      </c>
      <c r="Y270" s="9">
        <v>0.54</v>
      </c>
      <c r="Z270" s="15">
        <f t="shared" si="361"/>
        <v>1.9610361754850452</v>
      </c>
      <c r="AA270" s="15">
        <f t="shared" si="375"/>
        <v>1.1708077950319853</v>
      </c>
      <c r="AC270" s="16">
        <f t="shared" si="362"/>
        <v>0.26791683248190312</v>
      </c>
      <c r="AD270" s="26">
        <f t="shared" si="363"/>
        <v>3.7325015779572066</v>
      </c>
      <c r="AE270" s="51">
        <v>28</v>
      </c>
      <c r="AF270" s="85" t="str">
        <f t="shared" si="364"/>
        <v>EC10</v>
      </c>
      <c r="AG270" s="9">
        <f t="shared" si="365"/>
        <v>1</v>
      </c>
      <c r="AH270" s="18">
        <f t="shared" si="366"/>
        <v>1.1708077950319853</v>
      </c>
      <c r="AI270" s="88" t="str">
        <f t="shared" si="367"/>
        <v>Chronic</v>
      </c>
      <c r="AJ270" s="9">
        <f t="shared" si="368"/>
        <v>1</v>
      </c>
      <c r="AK270" s="18">
        <f t="shared" si="369"/>
        <v>1.1708077950319853</v>
      </c>
      <c r="AM270" s="101" t="str">
        <f t="shared" si="370"/>
        <v>EC10</v>
      </c>
      <c r="AN270" s="102" t="s">
        <v>356</v>
      </c>
      <c r="AO270" s="103" t="str">
        <f t="shared" si="371"/>
        <v>Chronic</v>
      </c>
      <c r="AP270" s="102" t="str">
        <f t="shared" si="376"/>
        <v>y</v>
      </c>
      <c r="AQ270" s="104" t="str">
        <f t="shared" si="372"/>
        <v>Mortality</v>
      </c>
      <c r="AR270" s="196" t="s">
        <v>459</v>
      </c>
      <c r="AS270" s="105">
        <f t="shared" si="373"/>
        <v>28</v>
      </c>
      <c r="AT270" s="158" t="s">
        <v>460</v>
      </c>
      <c r="AU270" s="197"/>
      <c r="AV270" s="154">
        <f t="shared" ref="AV270:AV273" si="379">AK270</f>
        <v>1.1708077950319853</v>
      </c>
      <c r="AW270" s="155"/>
      <c r="AX270" s="197"/>
      <c r="AY270" s="198"/>
    </row>
    <row r="271" spans="1:52" x14ac:dyDescent="0.2">
      <c r="A271" s="19" t="s">
        <v>146</v>
      </c>
      <c r="B271" s="9">
        <v>254</v>
      </c>
      <c r="C271" s="10" t="s">
        <v>24</v>
      </c>
      <c r="D271" s="11" t="s">
        <v>139</v>
      </c>
      <c r="E271" s="9" t="s">
        <v>121</v>
      </c>
      <c r="F271" s="9" t="s">
        <v>127</v>
      </c>
      <c r="G271" s="9" t="s">
        <v>52</v>
      </c>
      <c r="H271" s="9" t="s">
        <v>571</v>
      </c>
      <c r="I271" s="12" t="s">
        <v>140</v>
      </c>
      <c r="J271" s="12" t="s">
        <v>53</v>
      </c>
      <c r="K271" s="12" t="s">
        <v>53</v>
      </c>
      <c r="L271" s="12" t="s">
        <v>133</v>
      </c>
      <c r="M271" s="12">
        <v>28</v>
      </c>
      <c r="N271" s="9" t="s">
        <v>55</v>
      </c>
      <c r="O271" s="13" t="s">
        <v>33</v>
      </c>
      <c r="P271" s="14" t="s">
        <v>129</v>
      </c>
      <c r="Q271" s="9" t="s">
        <v>130</v>
      </c>
      <c r="R271" s="9">
        <v>20</v>
      </c>
      <c r="S271" s="9" t="s">
        <v>131</v>
      </c>
      <c r="T271" s="9">
        <v>8.1999999999999993</v>
      </c>
      <c r="U271" s="9">
        <v>5.9020000000000001</v>
      </c>
      <c r="V271" s="9" t="s">
        <v>134</v>
      </c>
      <c r="W271" s="9" t="s">
        <v>37</v>
      </c>
      <c r="X271" s="9">
        <v>7.67</v>
      </c>
      <c r="Y271" s="9">
        <v>0.13</v>
      </c>
      <c r="Z271" s="15">
        <f t="shared" si="361"/>
        <v>0.4284575216169903</v>
      </c>
      <c r="AA271" s="15">
        <f t="shared" si="375"/>
        <v>0.25580425920760025</v>
      </c>
      <c r="AB271" t="s">
        <v>577</v>
      </c>
      <c r="AC271" s="16">
        <f t="shared" si="362"/>
        <v>0.30760968147407108</v>
      </c>
      <c r="AD271" s="26">
        <f t="shared" si="363"/>
        <v>3.2508729738543409</v>
      </c>
      <c r="AE271" s="51">
        <v>28</v>
      </c>
      <c r="AF271" s="85" t="str">
        <f t="shared" si="364"/>
        <v>IC10</v>
      </c>
      <c r="AG271" s="9">
        <f t="shared" si="365"/>
        <v>1</v>
      </c>
      <c r="AH271" s="18">
        <f t="shared" si="366"/>
        <v>0.25580425920760025</v>
      </c>
      <c r="AI271" s="88" t="str">
        <f t="shared" si="367"/>
        <v>Chronic</v>
      </c>
      <c r="AJ271" s="9">
        <f t="shared" si="368"/>
        <v>1</v>
      </c>
      <c r="AK271" s="18">
        <f t="shared" si="369"/>
        <v>0.25580425920760025</v>
      </c>
      <c r="AL271" s="16"/>
      <c r="AM271" s="110" t="str">
        <f t="shared" si="370"/>
        <v>IC10</v>
      </c>
      <c r="AN271" s="111" t="s">
        <v>356</v>
      </c>
      <c r="AO271" s="112" t="str">
        <f t="shared" si="371"/>
        <v>Chronic</v>
      </c>
      <c r="AP271" s="111" t="str">
        <f t="shared" si="376"/>
        <v>y</v>
      </c>
      <c r="AQ271" s="134" t="str">
        <f t="shared" si="372"/>
        <v>Mortality</v>
      </c>
      <c r="AR271" s="199" t="s">
        <v>459</v>
      </c>
      <c r="AS271" s="114">
        <f t="shared" si="373"/>
        <v>28</v>
      </c>
      <c r="AT271" s="199" t="s">
        <v>460</v>
      </c>
      <c r="AU271" s="200"/>
      <c r="AV271" s="152">
        <f t="shared" si="379"/>
        <v>0.25580425920760025</v>
      </c>
      <c r="AW271" s="116">
        <f>GEOMEAN(AV270:AV271)</f>
        <v>0.54726375787424553</v>
      </c>
      <c r="AX271" s="117">
        <f>MIN(AW271)</f>
        <v>0.54726375787424553</v>
      </c>
      <c r="AY271" s="125">
        <f>MIN(AX271:AX271)</f>
        <v>0.54726375787424553</v>
      </c>
    </row>
    <row r="272" spans="1:52" x14ac:dyDescent="0.2">
      <c r="A272" s="32" t="s">
        <v>148</v>
      </c>
      <c r="B272" s="33">
        <v>256</v>
      </c>
      <c r="C272" s="38" t="s">
        <v>24</v>
      </c>
      <c r="D272" s="35" t="s">
        <v>149</v>
      </c>
      <c r="E272" s="33" t="s">
        <v>121</v>
      </c>
      <c r="F272" s="33" t="s">
        <v>127</v>
      </c>
      <c r="G272" s="33" t="s">
        <v>52</v>
      </c>
      <c r="H272" s="33" t="s">
        <v>571</v>
      </c>
      <c r="I272" s="33" t="s">
        <v>37</v>
      </c>
      <c r="J272" s="36" t="s">
        <v>53</v>
      </c>
      <c r="K272" s="36" t="s">
        <v>53</v>
      </c>
      <c r="L272" s="36" t="s">
        <v>54</v>
      </c>
      <c r="M272" s="36">
        <v>6</v>
      </c>
      <c r="N272" s="33" t="s">
        <v>102</v>
      </c>
      <c r="O272" s="37" t="s">
        <v>33</v>
      </c>
      <c r="P272" s="38" t="s">
        <v>150</v>
      </c>
      <c r="Q272" s="33" t="s">
        <v>151</v>
      </c>
      <c r="R272" s="33">
        <v>21.8</v>
      </c>
      <c r="S272" s="33" t="s">
        <v>152</v>
      </c>
      <c r="T272" s="33">
        <v>7.8</v>
      </c>
      <c r="U272" s="33">
        <v>2.7679999999999998</v>
      </c>
      <c r="V272" s="33" t="s">
        <v>37</v>
      </c>
      <c r="W272" s="33">
        <v>30</v>
      </c>
      <c r="X272" s="33">
        <v>30</v>
      </c>
      <c r="Y272" s="40">
        <f t="shared" ref="Y272" si="380">X272/((U272/100)*1000)</f>
        <v>1.0838150289017343</v>
      </c>
      <c r="Z272" s="40">
        <f t="shared" si="361"/>
        <v>2.0127302212112239</v>
      </c>
      <c r="AA272" s="40">
        <f t="shared" si="375"/>
        <v>1.3495393975826977</v>
      </c>
      <c r="AB272" s="16"/>
      <c r="AC272" s="16">
        <f t="shared" si="362"/>
        <v>0.77268058509570214</v>
      </c>
      <c r="AD272" s="26">
        <f t="shared" si="363"/>
        <v>1.2941958414499863</v>
      </c>
      <c r="AE272" s="51">
        <v>28</v>
      </c>
      <c r="AF272" s="85" t="str">
        <f t="shared" si="364"/>
        <v>NOEC</v>
      </c>
      <c r="AG272" s="9">
        <f t="shared" si="365"/>
        <v>1</v>
      </c>
      <c r="AH272" s="18">
        <f t="shared" si="366"/>
        <v>1.3495393975826977</v>
      </c>
      <c r="AI272" s="88" t="str">
        <f t="shared" si="367"/>
        <v>Chronic</v>
      </c>
      <c r="AJ272" s="9">
        <f t="shared" si="368"/>
        <v>1</v>
      </c>
      <c r="AK272" s="18">
        <f t="shared" si="369"/>
        <v>1.3495393975826977</v>
      </c>
      <c r="AL272" s="16"/>
      <c r="AM272" s="101" t="str">
        <f t="shared" si="370"/>
        <v>NOEC</v>
      </c>
      <c r="AN272" s="102" t="s">
        <v>356</v>
      </c>
      <c r="AO272" s="103" t="str">
        <f t="shared" si="371"/>
        <v>Chronic</v>
      </c>
      <c r="AP272" s="102" t="str">
        <f t="shared" si="376"/>
        <v>y</v>
      </c>
      <c r="AQ272" s="104" t="str">
        <f t="shared" si="372"/>
        <v>Mortality</v>
      </c>
      <c r="AR272" s="102" t="s">
        <v>459</v>
      </c>
      <c r="AS272" s="105">
        <f t="shared" si="373"/>
        <v>6</v>
      </c>
      <c r="AT272" s="102" t="s">
        <v>460</v>
      </c>
      <c r="AU272" s="102"/>
      <c r="AV272" s="154">
        <f t="shared" si="379"/>
        <v>1.3495393975826977</v>
      </c>
      <c r="AW272" s="118">
        <f>GEOMEAN(AV272)</f>
        <v>1.3495393975826977</v>
      </c>
      <c r="AX272" s="119">
        <f>MIN(AW272:AW272)</f>
        <v>1.3495393975826977</v>
      </c>
      <c r="AY272" s="126">
        <f>MIN(AX272)</f>
        <v>1.3495393975826977</v>
      </c>
    </row>
    <row r="273" spans="1:52" x14ac:dyDescent="0.2">
      <c r="A273" s="8" t="s">
        <v>168</v>
      </c>
      <c r="B273" s="9">
        <v>242</v>
      </c>
      <c r="C273" s="10" t="s">
        <v>24</v>
      </c>
      <c r="D273" s="11" t="s">
        <v>155</v>
      </c>
      <c r="E273" s="9" t="s">
        <v>121</v>
      </c>
      <c r="F273" s="9" t="s">
        <v>127</v>
      </c>
      <c r="G273" s="9" t="s">
        <v>52</v>
      </c>
      <c r="H273" s="9" t="s">
        <v>571</v>
      </c>
      <c r="I273" s="12" t="s">
        <v>156</v>
      </c>
      <c r="J273" s="12" t="s">
        <v>136</v>
      </c>
      <c r="K273" s="12" t="s">
        <v>169</v>
      </c>
      <c r="L273" s="12" t="s">
        <v>54</v>
      </c>
      <c r="M273" s="12">
        <v>60</v>
      </c>
      <c r="N273" s="9" t="s">
        <v>55</v>
      </c>
      <c r="O273" s="13" t="s">
        <v>33</v>
      </c>
      <c r="P273" s="14" t="s">
        <v>157</v>
      </c>
      <c r="Q273" s="9">
        <v>20</v>
      </c>
      <c r="R273" s="9">
        <v>20</v>
      </c>
      <c r="S273" s="28" t="s">
        <v>158</v>
      </c>
      <c r="T273" s="28">
        <v>7.73</v>
      </c>
      <c r="U273" s="26" t="s">
        <v>170</v>
      </c>
      <c r="V273" s="9">
        <v>0.65</v>
      </c>
      <c r="W273" s="9">
        <v>12</v>
      </c>
      <c r="X273" s="9">
        <v>12</v>
      </c>
      <c r="Y273" s="9">
        <v>0.65</v>
      </c>
      <c r="Z273" s="15">
        <f t="shared" si="361"/>
        <v>1.1105489745328638</v>
      </c>
      <c r="AA273" s="15">
        <f t="shared" si="375"/>
        <v>0.66303692527561442</v>
      </c>
      <c r="AC273" s="16">
        <f t="shared" si="362"/>
        <v>0.90782053017818432</v>
      </c>
      <c r="AD273" s="26">
        <f t="shared" si="363"/>
        <v>1.1015393095414168</v>
      </c>
      <c r="AE273" s="51">
        <v>28</v>
      </c>
      <c r="AF273" s="85" t="str">
        <f t="shared" si="364"/>
        <v>NOEC</v>
      </c>
      <c r="AG273" s="9">
        <f t="shared" si="365"/>
        <v>1</v>
      </c>
      <c r="AH273" s="18">
        <f t="shared" si="366"/>
        <v>0.66303692527561442</v>
      </c>
      <c r="AI273" s="88" t="str">
        <f t="shared" si="367"/>
        <v>Chronic</v>
      </c>
      <c r="AJ273" s="9">
        <f t="shared" si="368"/>
        <v>1</v>
      </c>
      <c r="AK273" s="18">
        <f t="shared" si="369"/>
        <v>0.66303692527561442</v>
      </c>
      <c r="AL273" s="16"/>
      <c r="AM273" s="110" t="str">
        <f t="shared" si="370"/>
        <v>NOEC</v>
      </c>
      <c r="AN273" s="111" t="s">
        <v>356</v>
      </c>
      <c r="AO273" s="112" t="str">
        <f t="shared" si="371"/>
        <v>Chronic</v>
      </c>
      <c r="AP273" s="111" t="str">
        <f t="shared" si="376"/>
        <v>y</v>
      </c>
      <c r="AQ273" s="134" t="str">
        <f t="shared" si="372"/>
        <v>Length</v>
      </c>
      <c r="AR273" s="111" t="s">
        <v>475</v>
      </c>
      <c r="AS273" s="114">
        <f t="shared" si="373"/>
        <v>60</v>
      </c>
      <c r="AT273" s="111" t="s">
        <v>476</v>
      </c>
      <c r="AU273" s="111"/>
      <c r="AV273" s="152">
        <f t="shared" si="379"/>
        <v>0.66303692527561442</v>
      </c>
      <c r="AW273" s="116">
        <f>GEOMEAN(AV273)</f>
        <v>0.66303692527561442</v>
      </c>
      <c r="AX273" s="117">
        <f>MIN(AW273)</f>
        <v>0.66303692527561442</v>
      </c>
      <c r="AY273" s="125">
        <f>MIN(AX273:AX273)</f>
        <v>0.66303692527561442</v>
      </c>
    </row>
    <row r="274" spans="1:52" x14ac:dyDescent="0.2">
      <c r="A274" s="32" t="s">
        <v>176</v>
      </c>
      <c r="B274" s="33">
        <v>254</v>
      </c>
      <c r="C274" s="34" t="s">
        <v>24</v>
      </c>
      <c r="D274" s="35" t="s">
        <v>172</v>
      </c>
      <c r="E274" s="33" t="s">
        <v>121</v>
      </c>
      <c r="F274" s="33" t="s">
        <v>127</v>
      </c>
      <c r="G274" s="33" t="s">
        <v>52</v>
      </c>
      <c r="H274" s="33" t="s">
        <v>571</v>
      </c>
      <c r="I274" s="36" t="s">
        <v>128</v>
      </c>
      <c r="J274" s="36" t="s">
        <v>177</v>
      </c>
      <c r="K274" s="36" t="s">
        <v>137</v>
      </c>
      <c r="L274" s="36" t="s">
        <v>133</v>
      </c>
      <c r="M274" s="36">
        <v>28</v>
      </c>
      <c r="N274" s="33" t="s">
        <v>55</v>
      </c>
      <c r="O274" s="37" t="s">
        <v>33</v>
      </c>
      <c r="P274" s="38" t="s">
        <v>129</v>
      </c>
      <c r="Q274" s="33" t="s">
        <v>130</v>
      </c>
      <c r="R274" s="33">
        <v>20</v>
      </c>
      <c r="S274" s="33" t="s">
        <v>131</v>
      </c>
      <c r="T274" s="33">
        <v>8.1999999999999993</v>
      </c>
      <c r="U274" s="33">
        <v>5.9020000000000001</v>
      </c>
      <c r="V274" s="33" t="s">
        <v>175</v>
      </c>
      <c r="W274" s="33" t="s">
        <v>37</v>
      </c>
      <c r="X274" s="33">
        <v>23.6</v>
      </c>
      <c r="Y274" s="33">
        <v>0.4</v>
      </c>
      <c r="Z274" s="40">
        <f t="shared" si="361"/>
        <v>1.3183308357445855</v>
      </c>
      <c r="AA274" s="40">
        <f t="shared" si="375"/>
        <v>0.78709002833107777</v>
      </c>
      <c r="AB274" t="s">
        <v>577</v>
      </c>
      <c r="AC274" s="16">
        <f t="shared" si="362"/>
        <v>0.30760968147407108</v>
      </c>
      <c r="AD274" s="26">
        <f t="shared" si="363"/>
        <v>3.2508729738543409</v>
      </c>
      <c r="AE274" s="51">
        <v>28</v>
      </c>
      <c r="AF274" s="85" t="str">
        <f t="shared" si="364"/>
        <v>IC10</v>
      </c>
      <c r="AG274" s="9">
        <f t="shared" si="365"/>
        <v>1</v>
      </c>
      <c r="AH274" s="18">
        <f t="shared" si="366"/>
        <v>0.78709002833107777</v>
      </c>
      <c r="AI274" s="88" t="str">
        <f t="shared" si="367"/>
        <v>Chronic</v>
      </c>
      <c r="AJ274" s="9">
        <f t="shared" si="368"/>
        <v>1</v>
      </c>
      <c r="AK274" s="18">
        <f t="shared" si="369"/>
        <v>0.78709002833107777</v>
      </c>
      <c r="AL274" s="16"/>
      <c r="AM274" s="110" t="str">
        <f t="shared" si="370"/>
        <v>IC10</v>
      </c>
      <c r="AN274" s="111" t="s">
        <v>356</v>
      </c>
      <c r="AO274" s="112" t="str">
        <f t="shared" si="371"/>
        <v>Chronic</v>
      </c>
      <c r="AP274" s="111" t="str">
        <f t="shared" si="376"/>
        <v>y</v>
      </c>
      <c r="AQ274" s="134" t="str">
        <f t="shared" si="372"/>
        <v>Shell length</v>
      </c>
      <c r="AR274" s="111" t="s">
        <v>473</v>
      </c>
      <c r="AS274" s="114">
        <f t="shared" si="373"/>
        <v>28</v>
      </c>
      <c r="AT274" s="111" t="s">
        <v>474</v>
      </c>
      <c r="AU274" s="111"/>
      <c r="AV274" s="152">
        <f>AK274</f>
        <v>0.78709002833107777</v>
      </c>
      <c r="AW274" s="116">
        <f>GEOMEAN(AV274)</f>
        <v>0.78709002833107777</v>
      </c>
      <c r="AX274" s="117">
        <f>MIN(AW274)</f>
        <v>0.78709002833107777</v>
      </c>
      <c r="AY274" s="125">
        <f>MIN(AX274:AX274)</f>
        <v>0.78709002833107777</v>
      </c>
    </row>
    <row r="275" spans="1:52" x14ac:dyDescent="0.2">
      <c r="A275" s="193" t="s">
        <v>616</v>
      </c>
    </row>
    <row r="276" spans="1:52" x14ac:dyDescent="0.2">
      <c r="A276" s="32" t="s">
        <v>48</v>
      </c>
      <c r="B276" s="33">
        <v>236</v>
      </c>
      <c r="C276" s="34" t="s">
        <v>24</v>
      </c>
      <c r="D276" s="35" t="s">
        <v>49</v>
      </c>
      <c r="E276" s="33" t="s">
        <v>50</v>
      </c>
      <c r="F276" s="33" t="s">
        <v>51</v>
      </c>
      <c r="G276" s="33" t="s">
        <v>52</v>
      </c>
      <c r="H276" s="33" t="s">
        <v>571</v>
      </c>
      <c r="I276" s="36" t="s">
        <v>37</v>
      </c>
      <c r="J276" s="36" t="s">
        <v>53</v>
      </c>
      <c r="K276" s="36" t="s">
        <v>53</v>
      </c>
      <c r="L276" s="36" t="s">
        <v>54</v>
      </c>
      <c r="M276" s="36">
        <v>30</v>
      </c>
      <c r="N276" s="33" t="s">
        <v>55</v>
      </c>
      <c r="O276" s="37" t="s">
        <v>33</v>
      </c>
      <c r="P276" s="38" t="s">
        <v>56</v>
      </c>
      <c r="Q276" s="33" t="s">
        <v>57</v>
      </c>
      <c r="R276" s="40">
        <v>15.1</v>
      </c>
      <c r="S276" s="33" t="s">
        <v>58</v>
      </c>
      <c r="T276" s="33">
        <v>8.11</v>
      </c>
      <c r="U276" s="33">
        <v>3.42</v>
      </c>
      <c r="V276" s="33" t="s">
        <v>37</v>
      </c>
      <c r="W276" s="33">
        <v>20</v>
      </c>
      <c r="X276" s="40">
        <v>20</v>
      </c>
      <c r="Y276" s="40">
        <f t="shared" ref="Y276:Y280" si="381">X276/((U276/100)*1000)</f>
        <v>0.58479532163742687</v>
      </c>
      <c r="Z276" s="40">
        <f t="shared" ref="Z276:Z289" si="382">Y276/((0.0278/(1+AC276))+(1.1994/(1+AD276)))</f>
        <v>1.6734482467670493</v>
      </c>
      <c r="AA276" s="40">
        <f>POWER(10,LOG(Z276)-(-0.028*(R276-AE276)))</f>
        <v>0.68298676171854911</v>
      </c>
      <c r="AC276" s="16">
        <f t="shared" ref="AC276:AC289" si="383">POWER(10,7.688-T276)</f>
        <v>0.37844258471709358</v>
      </c>
      <c r="AD276" s="26">
        <f t="shared" ref="AD276:AD289" si="384">POWER(10,T276-7.688)</f>
        <v>2.6424087573219448</v>
      </c>
      <c r="AE276" s="51">
        <v>29</v>
      </c>
      <c r="AF276" s="85" t="str">
        <f t="shared" ref="AF276:AF289" si="385">L276</f>
        <v>NOEC</v>
      </c>
      <c r="AG276" s="9">
        <f t="shared" ref="AG276:AG289" si="386">VLOOKUP(AF276,$BD$6:$BE$17,2,FALSE)</f>
        <v>1</v>
      </c>
      <c r="AH276" s="18">
        <f t="shared" ref="AH276:AH289" si="387">AA276/AG276</f>
        <v>0.68298676171854911</v>
      </c>
      <c r="AI276" s="88" t="str">
        <f t="shared" ref="AI276:AI289" si="388">O276</f>
        <v>Chronic</v>
      </c>
      <c r="AJ276" s="9">
        <f t="shared" ref="AJ276:AJ289" si="389">VLOOKUP(AI276,$BD$19:$BF$20,2,FALSE)</f>
        <v>1</v>
      </c>
      <c r="AK276" s="18">
        <f t="shared" ref="AK276:AK289" si="390">AH276/AJ276</f>
        <v>0.68298676171854911</v>
      </c>
      <c r="AL276" s="16"/>
      <c r="AM276" s="127" t="str">
        <f t="shared" ref="AM276:AM289" si="391">L276</f>
        <v>NOEC</v>
      </c>
      <c r="AN276" s="128" t="s">
        <v>356</v>
      </c>
      <c r="AO276" s="129" t="str">
        <f t="shared" ref="AO276:AO289" si="392">O276</f>
        <v>Chronic</v>
      </c>
      <c r="AP276" s="128" t="str">
        <f>IF(AO276="chronic","y","n")</f>
        <v>y</v>
      </c>
      <c r="AQ276" s="130" t="str">
        <f t="shared" ref="AQ276:AQ289" si="393">K276</f>
        <v>Mortality</v>
      </c>
      <c r="AR276" s="128" t="s">
        <v>459</v>
      </c>
      <c r="AS276" s="131">
        <f t="shared" ref="AS276:AS289" si="394">M276</f>
        <v>30</v>
      </c>
      <c r="AT276" s="128" t="s">
        <v>460</v>
      </c>
      <c r="AU276" s="128"/>
      <c r="AV276" s="189">
        <f t="shared" ref="AV276:AV282" si="395">AK276</f>
        <v>0.68298676171854911</v>
      </c>
      <c r="AW276" s="190">
        <f>GEOMEAN(AV276)</f>
        <v>0.68298676171854911</v>
      </c>
      <c r="AX276" s="191">
        <f>MIN(AW276)</f>
        <v>0.68298676171854911</v>
      </c>
      <c r="AY276" s="192">
        <f>MIN(AX276)</f>
        <v>0.68298676171854911</v>
      </c>
      <c r="AZ276" s="206" t="str">
        <f>A275</f>
        <v>29°C</v>
      </c>
    </row>
    <row r="277" spans="1:52" x14ac:dyDescent="0.2">
      <c r="A277" s="19" t="s">
        <v>59</v>
      </c>
      <c r="B277" s="9">
        <v>245</v>
      </c>
      <c r="C277" s="10" t="s">
        <v>24</v>
      </c>
      <c r="D277" s="11" t="s">
        <v>60</v>
      </c>
      <c r="E277" s="20" t="s">
        <v>61</v>
      </c>
      <c r="F277" s="9" t="s">
        <v>62</v>
      </c>
      <c r="G277" s="9" t="s">
        <v>52</v>
      </c>
      <c r="H277" s="9" t="s">
        <v>571</v>
      </c>
      <c r="I277" s="12" t="s">
        <v>63</v>
      </c>
      <c r="J277" s="12" t="s">
        <v>64</v>
      </c>
      <c r="K277" s="12" t="s">
        <v>64</v>
      </c>
      <c r="L277" s="12" t="s">
        <v>54</v>
      </c>
      <c r="M277" s="12">
        <v>7</v>
      </c>
      <c r="N277" s="9" t="s">
        <v>55</v>
      </c>
      <c r="O277" s="21" t="s">
        <v>33</v>
      </c>
      <c r="P277" s="14" t="s">
        <v>65</v>
      </c>
      <c r="Q277" s="9">
        <v>25</v>
      </c>
      <c r="R277" s="9">
        <v>25</v>
      </c>
      <c r="S277" s="22">
        <v>8</v>
      </c>
      <c r="T277" s="22">
        <v>8</v>
      </c>
      <c r="U277" s="20">
        <v>5.3659999999999997</v>
      </c>
      <c r="V277" s="20" t="s">
        <v>37</v>
      </c>
      <c r="W277" s="20">
        <v>680</v>
      </c>
      <c r="X277" s="9">
        <v>680</v>
      </c>
      <c r="Y277" s="27">
        <f t="shared" si="381"/>
        <v>12.672381662318301</v>
      </c>
      <c r="Z277" s="15">
        <f t="shared" si="382"/>
        <v>30.774279778328605</v>
      </c>
      <c r="AA277" s="15">
        <f t="shared" ref="AA277:AA289" si="396">POWER(10,LOG(Z277)-(-0.028*(R277-AE277)))</f>
        <v>23.778688505017783</v>
      </c>
      <c r="AC277" s="16">
        <f t="shared" si="383"/>
        <v>0.48752849010338595</v>
      </c>
      <c r="AD277" s="26">
        <f t="shared" si="384"/>
        <v>2.051162178825567</v>
      </c>
      <c r="AE277" s="51">
        <v>29</v>
      </c>
      <c r="AF277" s="85" t="str">
        <f t="shared" si="385"/>
        <v>NOEC</v>
      </c>
      <c r="AG277" s="9">
        <f t="shared" si="386"/>
        <v>1</v>
      </c>
      <c r="AH277" s="18">
        <f t="shared" si="387"/>
        <v>23.778688505017783</v>
      </c>
      <c r="AI277" s="88" t="str">
        <f t="shared" si="388"/>
        <v>Chronic</v>
      </c>
      <c r="AJ277" s="9">
        <f t="shared" si="389"/>
        <v>1</v>
      </c>
      <c r="AK277" s="18">
        <f t="shared" si="390"/>
        <v>23.778688505017783</v>
      </c>
      <c r="AL277" s="16"/>
      <c r="AM277" s="101" t="str">
        <f t="shared" si="391"/>
        <v>NOEC</v>
      </c>
      <c r="AN277" s="102" t="s">
        <v>356</v>
      </c>
      <c r="AO277" s="103" t="str">
        <f t="shared" si="392"/>
        <v>Chronic</v>
      </c>
      <c r="AP277" s="102" t="str">
        <f t="shared" ref="AP277:AP289" si="397">IF(AO277="chronic","y","n")</f>
        <v>y</v>
      </c>
      <c r="AQ277" s="104" t="str">
        <f t="shared" si="393"/>
        <v>Reproduction</v>
      </c>
      <c r="AR277" s="102" t="s">
        <v>459</v>
      </c>
      <c r="AS277" s="105">
        <f t="shared" si="394"/>
        <v>7</v>
      </c>
      <c r="AT277" s="102" t="s">
        <v>460</v>
      </c>
      <c r="AU277" s="102"/>
      <c r="AV277" s="106">
        <f t="shared" si="395"/>
        <v>23.778688505017783</v>
      </c>
      <c r="AW277" s="107">
        <f>GEOMEAN(AV277:AV277)</f>
        <v>23.778688505017783</v>
      </c>
      <c r="AX277" s="108">
        <f>MIN(AW277:AW277)</f>
        <v>23.778688505017783</v>
      </c>
      <c r="AY277" s="109">
        <f>MIN(AX277)</f>
        <v>23.778688505017783</v>
      </c>
    </row>
    <row r="278" spans="1:52" x14ac:dyDescent="0.2">
      <c r="A278" s="32" t="s">
        <v>82</v>
      </c>
      <c r="B278" s="33">
        <v>240</v>
      </c>
      <c r="C278" s="34" t="s">
        <v>24</v>
      </c>
      <c r="D278" s="35" t="s">
        <v>77</v>
      </c>
      <c r="E278" s="33" t="s">
        <v>61</v>
      </c>
      <c r="F278" s="33" t="s">
        <v>62</v>
      </c>
      <c r="G278" s="33" t="s">
        <v>52</v>
      </c>
      <c r="H278" s="33" t="s">
        <v>571</v>
      </c>
      <c r="I278" s="36" t="s">
        <v>78</v>
      </c>
      <c r="J278" s="36" t="s">
        <v>83</v>
      </c>
      <c r="K278" s="36" t="s">
        <v>84</v>
      </c>
      <c r="L278" s="36" t="s">
        <v>54</v>
      </c>
      <c r="M278" s="36">
        <v>21</v>
      </c>
      <c r="N278" s="33" t="s">
        <v>55</v>
      </c>
      <c r="O278" s="37" t="s">
        <v>33</v>
      </c>
      <c r="P278" s="38" t="s">
        <v>79</v>
      </c>
      <c r="Q278" s="33" t="s">
        <v>80</v>
      </c>
      <c r="R278" s="40">
        <v>19.8</v>
      </c>
      <c r="S278" s="33" t="s">
        <v>81</v>
      </c>
      <c r="T278" s="33">
        <v>8.4499999999999993</v>
      </c>
      <c r="U278" s="33">
        <v>9.9039999999999999</v>
      </c>
      <c r="V278" s="44" t="s">
        <v>37</v>
      </c>
      <c r="W278" s="44" t="s">
        <v>37</v>
      </c>
      <c r="X278" s="33">
        <v>420</v>
      </c>
      <c r="Y278" s="40">
        <f t="shared" si="381"/>
        <v>4.2407108239095308</v>
      </c>
      <c r="Z278" s="40">
        <f t="shared" si="382"/>
        <v>21.142464693435951</v>
      </c>
      <c r="AA278" s="40">
        <f t="shared" si="396"/>
        <v>11.68303328549043</v>
      </c>
      <c r="AC278" s="16">
        <f t="shared" si="383"/>
        <v>0.17298163592151028</v>
      </c>
      <c r="AD278" s="26">
        <f t="shared" si="384"/>
        <v>5.7809604740571769</v>
      </c>
      <c r="AE278" s="51">
        <v>29</v>
      </c>
      <c r="AF278" s="85" t="str">
        <f t="shared" si="385"/>
        <v>NOEC</v>
      </c>
      <c r="AG278" s="9">
        <f t="shared" si="386"/>
        <v>1</v>
      </c>
      <c r="AH278" s="18">
        <f t="shared" si="387"/>
        <v>11.68303328549043</v>
      </c>
      <c r="AI278" s="88" t="str">
        <f t="shared" si="388"/>
        <v>Chronic</v>
      </c>
      <c r="AJ278" s="9">
        <f t="shared" si="389"/>
        <v>1</v>
      </c>
      <c r="AK278" s="18">
        <f t="shared" si="390"/>
        <v>11.68303328549043</v>
      </c>
      <c r="AL278" s="16"/>
      <c r="AM278" s="101" t="str">
        <f t="shared" si="391"/>
        <v>NOEC</v>
      </c>
      <c r="AN278" s="102" t="s">
        <v>356</v>
      </c>
      <c r="AO278" s="103" t="str">
        <f t="shared" si="392"/>
        <v>Chronic</v>
      </c>
      <c r="AP278" s="102" t="str">
        <f t="shared" si="397"/>
        <v>y</v>
      </c>
      <c r="AQ278" s="104" t="str">
        <f t="shared" si="393"/>
        <v>Mean total young/daphnid</v>
      </c>
      <c r="AR278" s="102" t="s">
        <v>459</v>
      </c>
      <c r="AS278" s="105">
        <f t="shared" si="394"/>
        <v>21</v>
      </c>
      <c r="AT278" s="102" t="s">
        <v>460</v>
      </c>
      <c r="AU278" s="102"/>
      <c r="AV278" s="147">
        <f t="shared" si="395"/>
        <v>11.68303328549043</v>
      </c>
      <c r="AW278" s="107">
        <f>GEOMEAN(AV278:AV278)</f>
        <v>11.68303328549043</v>
      </c>
      <c r="AX278" s="108">
        <f>MIN(AW278)</f>
        <v>11.68303328549043</v>
      </c>
      <c r="AY278" s="109"/>
    </row>
    <row r="279" spans="1:52" x14ac:dyDescent="0.2">
      <c r="A279" s="32" t="s">
        <v>87</v>
      </c>
      <c r="B279" s="33">
        <v>240</v>
      </c>
      <c r="C279" s="34" t="s">
        <v>24</v>
      </c>
      <c r="D279" s="35" t="s">
        <v>77</v>
      </c>
      <c r="E279" s="33" t="s">
        <v>61</v>
      </c>
      <c r="F279" s="33" t="s">
        <v>62</v>
      </c>
      <c r="G279" s="33" t="s">
        <v>52</v>
      </c>
      <c r="H279" s="33" t="s">
        <v>571</v>
      </c>
      <c r="I279" s="36" t="s">
        <v>78</v>
      </c>
      <c r="J279" s="36" t="s">
        <v>83</v>
      </c>
      <c r="K279" s="36" t="s">
        <v>88</v>
      </c>
      <c r="L279" s="36" t="s">
        <v>54</v>
      </c>
      <c r="M279" s="36">
        <v>21</v>
      </c>
      <c r="N279" s="33" t="s">
        <v>55</v>
      </c>
      <c r="O279" s="37" t="s">
        <v>33</v>
      </c>
      <c r="P279" s="38" t="s">
        <v>79</v>
      </c>
      <c r="Q279" s="33" t="s">
        <v>80</v>
      </c>
      <c r="R279" s="40">
        <v>19.8</v>
      </c>
      <c r="S279" s="33" t="s">
        <v>81</v>
      </c>
      <c r="T279" s="33">
        <v>8.4499999999999993</v>
      </c>
      <c r="U279" s="33">
        <v>9.9039999999999999</v>
      </c>
      <c r="V279" s="44" t="s">
        <v>37</v>
      </c>
      <c r="W279" s="44" t="s">
        <v>37</v>
      </c>
      <c r="X279" s="33">
        <v>420</v>
      </c>
      <c r="Y279" s="40">
        <f t="shared" si="381"/>
        <v>4.2407108239095308</v>
      </c>
      <c r="Z279" s="40">
        <f t="shared" si="382"/>
        <v>21.142464693435951</v>
      </c>
      <c r="AA279" s="40">
        <f t="shared" si="396"/>
        <v>11.68303328549043</v>
      </c>
      <c r="AC279" s="16">
        <f t="shared" si="383"/>
        <v>0.17298163592151028</v>
      </c>
      <c r="AD279" s="26">
        <f t="shared" si="384"/>
        <v>5.7809604740571769</v>
      </c>
      <c r="AE279" s="51">
        <v>29</v>
      </c>
      <c r="AF279" s="85" t="str">
        <f t="shared" si="385"/>
        <v>NOEC</v>
      </c>
      <c r="AG279" s="9">
        <f t="shared" si="386"/>
        <v>1</v>
      </c>
      <c r="AH279" s="18">
        <f t="shared" si="387"/>
        <v>11.68303328549043</v>
      </c>
      <c r="AI279" s="88" t="str">
        <f t="shared" si="388"/>
        <v>Chronic</v>
      </c>
      <c r="AJ279" s="9">
        <f t="shared" si="389"/>
        <v>1</v>
      </c>
      <c r="AK279" s="18">
        <f t="shared" si="390"/>
        <v>11.68303328549043</v>
      </c>
      <c r="AL279" s="16"/>
      <c r="AM279" s="132" t="str">
        <f t="shared" si="391"/>
        <v>NOEC</v>
      </c>
      <c r="AN279" s="67" t="s">
        <v>356</v>
      </c>
      <c r="AO279" s="88" t="str">
        <f t="shared" si="392"/>
        <v>Chronic</v>
      </c>
      <c r="AP279" s="67" t="str">
        <f t="shared" si="397"/>
        <v>y</v>
      </c>
      <c r="AQ279" s="69" t="str">
        <f t="shared" si="393"/>
        <v>Mean brood size/daphnid</v>
      </c>
      <c r="AR279" s="67" t="s">
        <v>475</v>
      </c>
      <c r="AS279" s="70">
        <f t="shared" si="394"/>
        <v>21</v>
      </c>
      <c r="AT279" s="67" t="s">
        <v>476</v>
      </c>
      <c r="AU279" s="67"/>
      <c r="AV279" s="82">
        <f t="shared" si="395"/>
        <v>11.68303328549043</v>
      </c>
      <c r="AW279" s="81">
        <f>GEOMEAN(AV279:AV279)</f>
        <v>11.68303328549043</v>
      </c>
      <c r="AX279" s="78">
        <f>MIN(AW279)</f>
        <v>11.68303328549043</v>
      </c>
      <c r="AY279" s="133"/>
    </row>
    <row r="280" spans="1:52" x14ac:dyDescent="0.2">
      <c r="A280" s="32" t="s">
        <v>89</v>
      </c>
      <c r="B280" s="33">
        <v>240</v>
      </c>
      <c r="C280" s="34" t="s">
        <v>24</v>
      </c>
      <c r="D280" s="35" t="s">
        <v>77</v>
      </c>
      <c r="E280" s="33" t="s">
        <v>61</v>
      </c>
      <c r="F280" s="33" t="s">
        <v>62</v>
      </c>
      <c r="G280" s="33" t="s">
        <v>52</v>
      </c>
      <c r="H280" s="33" t="s">
        <v>571</v>
      </c>
      <c r="I280" s="36" t="s">
        <v>78</v>
      </c>
      <c r="J280" s="36" t="s">
        <v>53</v>
      </c>
      <c r="K280" s="36" t="s">
        <v>53</v>
      </c>
      <c r="L280" s="36" t="s">
        <v>54</v>
      </c>
      <c r="M280" s="36">
        <v>21</v>
      </c>
      <c r="N280" s="33" t="s">
        <v>55</v>
      </c>
      <c r="O280" s="37" t="s">
        <v>33</v>
      </c>
      <c r="P280" s="38" t="s">
        <v>79</v>
      </c>
      <c r="Q280" s="33" t="s">
        <v>80</v>
      </c>
      <c r="R280" s="40">
        <v>19.8</v>
      </c>
      <c r="S280" s="33" t="s">
        <v>81</v>
      </c>
      <c r="T280" s="33">
        <v>8.4499999999999993</v>
      </c>
      <c r="U280" s="33">
        <v>9.9039999999999999</v>
      </c>
      <c r="V280" s="44" t="s">
        <v>37</v>
      </c>
      <c r="W280" s="44" t="s">
        <v>37</v>
      </c>
      <c r="X280" s="33">
        <v>420</v>
      </c>
      <c r="Y280" s="40">
        <f t="shared" si="381"/>
        <v>4.2407108239095308</v>
      </c>
      <c r="Z280" s="40">
        <f t="shared" si="382"/>
        <v>21.142464693435951</v>
      </c>
      <c r="AA280" s="40">
        <f t="shared" si="396"/>
        <v>11.68303328549043</v>
      </c>
      <c r="AC280" s="16">
        <f t="shared" si="383"/>
        <v>0.17298163592151028</v>
      </c>
      <c r="AD280" s="26">
        <f t="shared" si="384"/>
        <v>5.7809604740571769</v>
      </c>
      <c r="AE280" s="51">
        <v>29</v>
      </c>
      <c r="AF280" s="85" t="str">
        <f t="shared" si="385"/>
        <v>NOEC</v>
      </c>
      <c r="AG280" s="9">
        <f t="shared" si="386"/>
        <v>1</v>
      </c>
      <c r="AH280" s="18">
        <f t="shared" si="387"/>
        <v>11.68303328549043</v>
      </c>
      <c r="AI280" s="88" t="str">
        <f t="shared" si="388"/>
        <v>Chronic</v>
      </c>
      <c r="AJ280" s="9">
        <f t="shared" si="389"/>
        <v>1</v>
      </c>
      <c r="AK280" s="18">
        <f t="shared" si="390"/>
        <v>11.68303328549043</v>
      </c>
      <c r="AL280" s="16"/>
      <c r="AM280" s="110" t="str">
        <f t="shared" si="391"/>
        <v>NOEC</v>
      </c>
      <c r="AN280" s="111" t="s">
        <v>356</v>
      </c>
      <c r="AO280" s="112" t="str">
        <f t="shared" si="392"/>
        <v>Chronic</v>
      </c>
      <c r="AP280" s="111" t="str">
        <f t="shared" si="397"/>
        <v>y</v>
      </c>
      <c r="AQ280" s="134" t="str">
        <f t="shared" si="393"/>
        <v>Mortality</v>
      </c>
      <c r="AR280" s="111" t="s">
        <v>55</v>
      </c>
      <c r="AS280" s="114">
        <f t="shared" si="394"/>
        <v>21</v>
      </c>
      <c r="AT280" s="111" t="s">
        <v>477</v>
      </c>
      <c r="AU280" s="111"/>
      <c r="AV280" s="138">
        <f t="shared" si="395"/>
        <v>11.68303328549043</v>
      </c>
      <c r="AW280" s="135">
        <f>GEOMEAN(AV280:AV280)</f>
        <v>11.68303328549043</v>
      </c>
      <c r="AX280" s="136">
        <f>MIN(AW280)</f>
        <v>11.68303328549043</v>
      </c>
      <c r="AY280" s="137">
        <f>MIN(AX278:AX280)</f>
        <v>11.68303328549043</v>
      </c>
    </row>
    <row r="281" spans="1:52" x14ac:dyDescent="0.2">
      <c r="A281" s="19" t="s">
        <v>90</v>
      </c>
      <c r="B281" s="23">
        <v>231</v>
      </c>
      <c r="C281" s="10" t="s">
        <v>24</v>
      </c>
      <c r="D281" s="11" t="s">
        <v>91</v>
      </c>
      <c r="E281" s="9" t="s">
        <v>61</v>
      </c>
      <c r="F281" s="9" t="s">
        <v>92</v>
      </c>
      <c r="G281" s="9" t="s">
        <v>93</v>
      </c>
      <c r="H281" s="9" t="s">
        <v>571</v>
      </c>
      <c r="I281" s="9" t="s">
        <v>94</v>
      </c>
      <c r="J281" s="12" t="s">
        <v>53</v>
      </c>
      <c r="K281" s="12" t="s">
        <v>95</v>
      </c>
      <c r="L281" s="12" t="s">
        <v>54</v>
      </c>
      <c r="M281" s="9">
        <v>29</v>
      </c>
      <c r="N281" s="9" t="s">
        <v>55</v>
      </c>
      <c r="O281" s="9" t="s">
        <v>33</v>
      </c>
      <c r="P281" s="14" t="s">
        <v>96</v>
      </c>
      <c r="Q281" s="23">
        <v>15.8</v>
      </c>
      <c r="R281" s="94">
        <v>15.8</v>
      </c>
      <c r="S281" s="9">
        <v>8.3699999999999992</v>
      </c>
      <c r="T281" s="9">
        <v>8.3699999999999992</v>
      </c>
      <c r="U281" s="9">
        <v>6.3609999999999998</v>
      </c>
      <c r="V281" s="9">
        <v>0.94899999999999995</v>
      </c>
      <c r="W281" s="9">
        <v>66</v>
      </c>
      <c r="X281" s="9">
        <v>66</v>
      </c>
      <c r="Y281" s="9">
        <v>0.94899999999999995</v>
      </c>
      <c r="Z281" s="15">
        <f t="shared" si="382"/>
        <v>4.1349303568432507</v>
      </c>
      <c r="AA281" s="15">
        <f t="shared" si="396"/>
        <v>1.7655019406693242</v>
      </c>
      <c r="AC281" s="16">
        <f t="shared" si="383"/>
        <v>0.20796966871036979</v>
      </c>
      <c r="AD281" s="26">
        <f t="shared" si="384"/>
        <v>4.8083934844972802</v>
      </c>
      <c r="AE281" s="51">
        <v>29</v>
      </c>
      <c r="AF281" s="85" t="str">
        <f t="shared" si="385"/>
        <v>NOEC</v>
      </c>
      <c r="AG281" s="9">
        <f t="shared" si="386"/>
        <v>1</v>
      </c>
      <c r="AH281" s="18">
        <f t="shared" si="387"/>
        <v>1.7655019406693242</v>
      </c>
      <c r="AI281" s="88" t="str">
        <f t="shared" si="388"/>
        <v>Chronic</v>
      </c>
      <c r="AJ281" s="9">
        <f t="shared" si="389"/>
        <v>1</v>
      </c>
      <c r="AK281" s="18">
        <f t="shared" si="390"/>
        <v>1.7655019406693242</v>
      </c>
      <c r="AL281" s="16"/>
      <c r="AM281" s="127" t="str">
        <f t="shared" si="391"/>
        <v>NOEC</v>
      </c>
      <c r="AN281" s="128" t="s">
        <v>356</v>
      </c>
      <c r="AO281" s="129" t="str">
        <f t="shared" si="392"/>
        <v>Chronic</v>
      </c>
      <c r="AP281" s="128" t="str">
        <f t="shared" si="397"/>
        <v>y</v>
      </c>
      <c r="AQ281" s="130" t="str">
        <f t="shared" si="393"/>
        <v>Mortality (of juvenile Deleatidium sp.)</v>
      </c>
      <c r="AR281" s="128" t="s">
        <v>459</v>
      </c>
      <c r="AS281" s="131">
        <f t="shared" si="394"/>
        <v>29</v>
      </c>
      <c r="AT281" s="128" t="s">
        <v>460</v>
      </c>
      <c r="AU281" s="128"/>
      <c r="AV281" s="143">
        <f t="shared" si="395"/>
        <v>1.7655019406693242</v>
      </c>
      <c r="AW281" s="144">
        <f t="shared" ref="AW281:AW282" si="398">GEOMEAN(AV281:AV281)</f>
        <v>1.7655019406693242</v>
      </c>
      <c r="AX281" s="141">
        <f>MIN(AW281)</f>
        <v>1.7655019406693242</v>
      </c>
      <c r="AY281" s="142">
        <f>MIN(AX281:AX281)</f>
        <v>1.7655019406693242</v>
      </c>
    </row>
    <row r="282" spans="1:52" x14ac:dyDescent="0.2">
      <c r="A282" s="32" t="s">
        <v>97</v>
      </c>
      <c r="B282" s="44">
        <v>221</v>
      </c>
      <c r="C282" s="34" t="s">
        <v>24</v>
      </c>
      <c r="D282" s="35" t="s">
        <v>98</v>
      </c>
      <c r="E282" s="33" t="s">
        <v>61</v>
      </c>
      <c r="F282" s="33" t="s">
        <v>99</v>
      </c>
      <c r="G282" s="33" t="s">
        <v>93</v>
      </c>
      <c r="H282" s="33" t="s">
        <v>571</v>
      </c>
      <c r="I282" s="36" t="s">
        <v>100</v>
      </c>
      <c r="J282" s="36" t="s">
        <v>64</v>
      </c>
      <c r="K282" s="44" t="s">
        <v>101</v>
      </c>
      <c r="L282" s="36" t="s">
        <v>54</v>
      </c>
      <c r="M282" s="36">
        <v>10</v>
      </c>
      <c r="N282" s="33" t="s">
        <v>102</v>
      </c>
      <c r="O282" s="33" t="s">
        <v>33</v>
      </c>
      <c r="P282" s="45" t="s">
        <v>103</v>
      </c>
      <c r="Q282" s="44">
        <v>25</v>
      </c>
      <c r="R282" s="44">
        <v>25</v>
      </c>
      <c r="S282" s="33" t="s">
        <v>104</v>
      </c>
      <c r="T282" s="33">
        <v>8.0399999999999991</v>
      </c>
      <c r="U282" s="46">
        <v>5.8536524151080886</v>
      </c>
      <c r="V282" s="33">
        <v>2.5</v>
      </c>
      <c r="W282" s="33" t="s">
        <v>37</v>
      </c>
      <c r="X282" s="39">
        <f t="shared" ref="X282" si="399">(V282)*(U282/100)*1000</f>
        <v>146.3413103777022</v>
      </c>
      <c r="Y282" s="33">
        <v>2.5</v>
      </c>
      <c r="Z282" s="40">
        <f t="shared" si="382"/>
        <v>6.4367096033276967</v>
      </c>
      <c r="AA282" s="40">
        <f t="shared" si="396"/>
        <v>4.9735205423903714</v>
      </c>
      <c r="AC282" s="16">
        <f t="shared" si="383"/>
        <v>0.4446312674691093</v>
      </c>
      <c r="AD282" s="26">
        <f t="shared" si="384"/>
        <v>2.2490546058357781</v>
      </c>
      <c r="AE282" s="51">
        <v>29</v>
      </c>
      <c r="AF282" s="85" t="str">
        <f t="shared" si="385"/>
        <v>NOEC</v>
      </c>
      <c r="AG282" s="9">
        <f t="shared" si="386"/>
        <v>1</v>
      </c>
      <c r="AH282" s="18">
        <f t="shared" si="387"/>
        <v>4.9735205423903714</v>
      </c>
      <c r="AI282" s="88" t="str">
        <f t="shared" si="388"/>
        <v>Chronic</v>
      </c>
      <c r="AJ282" s="9">
        <f t="shared" si="389"/>
        <v>1</v>
      </c>
      <c r="AK282" s="18">
        <f t="shared" si="390"/>
        <v>4.9735205423903714</v>
      </c>
      <c r="AL282" s="16"/>
      <c r="AM282" s="101" t="str">
        <f t="shared" si="391"/>
        <v>NOEC</v>
      </c>
      <c r="AN282" s="102" t="s">
        <v>356</v>
      </c>
      <c r="AO282" s="103" t="str">
        <f t="shared" si="392"/>
        <v>Chronic</v>
      </c>
      <c r="AP282" s="102" t="str">
        <f t="shared" si="397"/>
        <v>y</v>
      </c>
      <c r="AQ282" s="104" t="str">
        <f t="shared" si="393"/>
        <v>Reproduction (average young per replicate)</v>
      </c>
      <c r="AR282" s="102" t="s">
        <v>459</v>
      </c>
      <c r="AS282" s="105">
        <f t="shared" si="394"/>
        <v>10</v>
      </c>
      <c r="AT282" s="102" t="s">
        <v>460</v>
      </c>
      <c r="AU282" s="102"/>
      <c r="AV282" s="106">
        <f t="shared" si="395"/>
        <v>4.9735205423903714</v>
      </c>
      <c r="AW282" s="118">
        <f t="shared" si="398"/>
        <v>4.9735205423903714</v>
      </c>
      <c r="AX282" s="73">
        <f>MIN(AW282:AW282)</f>
        <v>4.9735205423903714</v>
      </c>
      <c r="AY282" s="126">
        <f>MIN(AX282:AX282)</f>
        <v>4.9735205423903714</v>
      </c>
    </row>
    <row r="283" spans="1:52" x14ac:dyDescent="0.2">
      <c r="A283" s="19" t="s">
        <v>119</v>
      </c>
      <c r="B283" s="9">
        <v>235</v>
      </c>
      <c r="C283" s="10" t="s">
        <v>24</v>
      </c>
      <c r="D283" s="11" t="s">
        <v>120</v>
      </c>
      <c r="E283" s="9" t="s">
        <v>121</v>
      </c>
      <c r="F283" s="9" t="s">
        <v>122</v>
      </c>
      <c r="G283" s="9" t="s">
        <v>52</v>
      </c>
      <c r="H283" s="9" t="s">
        <v>571</v>
      </c>
      <c r="I283" s="12" t="s">
        <v>37</v>
      </c>
      <c r="J283" s="12" t="s">
        <v>123</v>
      </c>
      <c r="K283" s="12" t="s">
        <v>123</v>
      </c>
      <c r="L283" s="12" t="s">
        <v>54</v>
      </c>
      <c r="M283" s="12">
        <v>40</v>
      </c>
      <c r="N283" s="9" t="s">
        <v>55</v>
      </c>
      <c r="O283" s="13" t="s">
        <v>33</v>
      </c>
      <c r="P283" s="14" t="s">
        <v>56</v>
      </c>
      <c r="Q283" s="9" t="s">
        <v>438</v>
      </c>
      <c r="R283" s="9">
        <v>15.3</v>
      </c>
      <c r="S283" s="9" t="s">
        <v>124</v>
      </c>
      <c r="T283" s="9">
        <v>8.1</v>
      </c>
      <c r="U283" s="9">
        <v>3.3940000000000001</v>
      </c>
      <c r="V283" s="18">
        <v>2.1</v>
      </c>
      <c r="W283" s="9">
        <v>70</v>
      </c>
      <c r="X283" s="9">
        <v>70</v>
      </c>
      <c r="Y283" s="18">
        <v>2.1</v>
      </c>
      <c r="Z283" s="15">
        <f t="shared" si="382"/>
        <v>5.9178920071141139</v>
      </c>
      <c r="AA283" s="15">
        <f t="shared" si="396"/>
        <v>2.4466228961284484</v>
      </c>
      <c r="AC283" s="16">
        <f t="shared" si="383"/>
        <v>0.38725764492161724</v>
      </c>
      <c r="AD283" s="26">
        <f t="shared" si="384"/>
        <v>2.5822601906345959</v>
      </c>
      <c r="AE283" s="51">
        <v>29</v>
      </c>
      <c r="AF283" s="85" t="str">
        <f t="shared" si="385"/>
        <v>NOEC</v>
      </c>
      <c r="AG283" s="9">
        <f t="shared" si="386"/>
        <v>1</v>
      </c>
      <c r="AH283" s="18">
        <f t="shared" si="387"/>
        <v>2.4466228961284484</v>
      </c>
      <c r="AI283" s="88" t="str">
        <f t="shared" si="388"/>
        <v>Chronic</v>
      </c>
      <c r="AJ283" s="9">
        <f t="shared" si="389"/>
        <v>1</v>
      </c>
      <c r="AK283" s="18">
        <f t="shared" si="390"/>
        <v>2.4466228961284484</v>
      </c>
      <c r="AL283" s="16"/>
      <c r="AM283" s="127" t="str">
        <f t="shared" si="391"/>
        <v>NOEC</v>
      </c>
      <c r="AN283" s="128" t="s">
        <v>356</v>
      </c>
      <c r="AO283" s="129" t="str">
        <f t="shared" si="392"/>
        <v>Chronic</v>
      </c>
      <c r="AP283" s="128" t="str">
        <f t="shared" si="397"/>
        <v>y</v>
      </c>
      <c r="AQ283" s="130" t="str">
        <f t="shared" si="393"/>
        <v>Immobility</v>
      </c>
      <c r="AR283" s="128" t="s">
        <v>459</v>
      </c>
      <c r="AS283" s="131">
        <f t="shared" si="394"/>
        <v>40</v>
      </c>
      <c r="AT283" s="128" t="s">
        <v>460</v>
      </c>
      <c r="AU283" s="128"/>
      <c r="AV283" s="143">
        <f>AK283</f>
        <v>2.4466228961284484</v>
      </c>
      <c r="AW283" s="144">
        <f>GEOMEAN(AV283:AV283)</f>
        <v>2.4466228961284484</v>
      </c>
      <c r="AX283" s="148">
        <f>MIN(AW283)</f>
        <v>2.4466228961284484</v>
      </c>
      <c r="AY283" s="149">
        <f>MIN(AX283)</f>
        <v>2.4466228961284484</v>
      </c>
    </row>
    <row r="284" spans="1:52" x14ac:dyDescent="0.2">
      <c r="A284" s="32" t="s">
        <v>132</v>
      </c>
      <c r="B284" s="33">
        <v>254</v>
      </c>
      <c r="C284" s="34" t="s">
        <v>24</v>
      </c>
      <c r="D284" s="35" t="s">
        <v>126</v>
      </c>
      <c r="E284" s="33" t="s">
        <v>121</v>
      </c>
      <c r="F284" s="33" t="s">
        <v>127</v>
      </c>
      <c r="G284" s="33" t="s">
        <v>52</v>
      </c>
      <c r="H284" s="33" t="s">
        <v>571</v>
      </c>
      <c r="I284" s="36" t="s">
        <v>128</v>
      </c>
      <c r="J284" s="36" t="s">
        <v>53</v>
      </c>
      <c r="K284" s="36" t="s">
        <v>53</v>
      </c>
      <c r="L284" s="36" t="s">
        <v>133</v>
      </c>
      <c r="M284" s="36">
        <v>28</v>
      </c>
      <c r="N284" s="33" t="s">
        <v>55</v>
      </c>
      <c r="O284" s="37" t="s">
        <v>33</v>
      </c>
      <c r="P284" s="38" t="s">
        <v>129</v>
      </c>
      <c r="Q284" s="33" t="s">
        <v>130</v>
      </c>
      <c r="R284" s="33">
        <v>20</v>
      </c>
      <c r="S284" s="33" t="s">
        <v>131</v>
      </c>
      <c r="T284" s="33">
        <v>8.1999999999999993</v>
      </c>
      <c r="U284" s="33">
        <v>5.9020000000000001</v>
      </c>
      <c r="V284" s="33" t="s">
        <v>134</v>
      </c>
      <c r="W284" s="33" t="s">
        <v>37</v>
      </c>
      <c r="X284" s="33">
        <v>7.67</v>
      </c>
      <c r="Y284" s="33">
        <v>0.13</v>
      </c>
      <c r="Z284" s="40">
        <f t="shared" si="382"/>
        <v>0.4284575216169903</v>
      </c>
      <c r="AA284" s="40">
        <f t="shared" si="396"/>
        <v>0.23983235464286573</v>
      </c>
      <c r="AB284" t="s">
        <v>577</v>
      </c>
      <c r="AC284" s="16">
        <f t="shared" si="383"/>
        <v>0.30760968147407108</v>
      </c>
      <c r="AD284" s="26">
        <f t="shared" si="384"/>
        <v>3.2508729738543409</v>
      </c>
      <c r="AE284" s="51">
        <v>29</v>
      </c>
      <c r="AF284" s="85" t="str">
        <f t="shared" si="385"/>
        <v>IC10</v>
      </c>
      <c r="AG284" s="9">
        <f t="shared" si="386"/>
        <v>1</v>
      </c>
      <c r="AH284" s="18">
        <f t="shared" si="387"/>
        <v>0.23983235464286573</v>
      </c>
      <c r="AI284" s="88" t="str">
        <f t="shared" si="388"/>
        <v>Chronic</v>
      </c>
      <c r="AJ284" s="9">
        <f t="shared" si="389"/>
        <v>1</v>
      </c>
      <c r="AK284" s="18">
        <f t="shared" si="390"/>
        <v>0.23983235464286573</v>
      </c>
      <c r="AL284" s="16"/>
      <c r="AM284" s="132" t="str">
        <f t="shared" si="391"/>
        <v>IC10</v>
      </c>
      <c r="AN284" s="67" t="s">
        <v>356</v>
      </c>
      <c r="AO284" s="88" t="str">
        <f t="shared" si="392"/>
        <v>Chronic</v>
      </c>
      <c r="AP284" s="67" t="str">
        <f t="shared" si="397"/>
        <v>y</v>
      </c>
      <c r="AQ284" s="69" t="str">
        <f t="shared" si="393"/>
        <v>Mortality</v>
      </c>
      <c r="AR284" s="67" t="s">
        <v>459</v>
      </c>
      <c r="AS284" s="70">
        <f t="shared" si="394"/>
        <v>28</v>
      </c>
      <c r="AT284" s="67" t="s">
        <v>460</v>
      </c>
      <c r="AU284" s="67"/>
      <c r="AV284" s="151">
        <f>AK284</f>
        <v>0.23983235464286573</v>
      </c>
      <c r="AW284" s="95">
        <f>GEOMEAN(AV284:AV284)</f>
        <v>0.23983235464286573</v>
      </c>
      <c r="AX284" s="96">
        <f>MIN(AW284)</f>
        <v>0.23983235464286573</v>
      </c>
      <c r="AY284" s="153">
        <f>MIN(AX284)</f>
        <v>0.23983235464286573</v>
      </c>
    </row>
    <row r="285" spans="1:52" x14ac:dyDescent="0.2">
      <c r="A285" s="19" t="s">
        <v>144</v>
      </c>
      <c r="B285" s="9">
        <v>253</v>
      </c>
      <c r="C285" s="10" t="s">
        <v>24</v>
      </c>
      <c r="D285" s="11" t="s">
        <v>139</v>
      </c>
      <c r="E285" s="9" t="s">
        <v>121</v>
      </c>
      <c r="F285" s="9" t="s">
        <v>127</v>
      </c>
      <c r="G285" s="9" t="s">
        <v>52</v>
      </c>
      <c r="H285" s="9" t="s">
        <v>571</v>
      </c>
      <c r="I285" s="12" t="s">
        <v>140</v>
      </c>
      <c r="J285" s="12" t="s">
        <v>53</v>
      </c>
      <c r="K285" s="12" t="s">
        <v>53</v>
      </c>
      <c r="L285" s="12" t="s">
        <v>31</v>
      </c>
      <c r="M285" s="12">
        <v>28</v>
      </c>
      <c r="N285" s="9" t="s">
        <v>55</v>
      </c>
      <c r="O285" s="13" t="s">
        <v>33</v>
      </c>
      <c r="P285" s="14" t="s">
        <v>141</v>
      </c>
      <c r="Q285" s="9">
        <v>20</v>
      </c>
      <c r="R285" s="9">
        <v>20</v>
      </c>
      <c r="S285" s="9" t="s">
        <v>142</v>
      </c>
      <c r="T285" s="9">
        <v>8.26</v>
      </c>
      <c r="U285" s="9">
        <v>6.718</v>
      </c>
      <c r="V285" s="9">
        <v>0.54</v>
      </c>
      <c r="W285" s="9" t="s">
        <v>37</v>
      </c>
      <c r="X285" s="9">
        <v>36.299999999999997</v>
      </c>
      <c r="Y285" s="9">
        <v>0.54</v>
      </c>
      <c r="Z285" s="15">
        <f t="shared" si="382"/>
        <v>1.9610361754850452</v>
      </c>
      <c r="AA285" s="15">
        <f t="shared" si="396"/>
        <v>1.0977049060346529</v>
      </c>
      <c r="AC285" s="16">
        <f t="shared" si="383"/>
        <v>0.26791683248190312</v>
      </c>
      <c r="AD285" s="26">
        <f t="shared" si="384"/>
        <v>3.7325015779572066</v>
      </c>
      <c r="AE285" s="51">
        <v>29</v>
      </c>
      <c r="AF285" s="85" t="str">
        <f t="shared" si="385"/>
        <v>EC10</v>
      </c>
      <c r="AG285" s="9">
        <f t="shared" si="386"/>
        <v>1</v>
      </c>
      <c r="AH285" s="18">
        <f t="shared" si="387"/>
        <v>1.0977049060346529</v>
      </c>
      <c r="AI285" s="88" t="str">
        <f t="shared" si="388"/>
        <v>Chronic</v>
      </c>
      <c r="AJ285" s="9">
        <f t="shared" si="389"/>
        <v>1</v>
      </c>
      <c r="AK285" s="18">
        <f t="shared" si="390"/>
        <v>1.0977049060346529</v>
      </c>
      <c r="AM285" s="101" t="str">
        <f t="shared" si="391"/>
        <v>EC10</v>
      </c>
      <c r="AN285" s="102" t="s">
        <v>356</v>
      </c>
      <c r="AO285" s="103" t="str">
        <f t="shared" si="392"/>
        <v>Chronic</v>
      </c>
      <c r="AP285" s="102" t="str">
        <f t="shared" si="397"/>
        <v>y</v>
      </c>
      <c r="AQ285" s="104" t="str">
        <f t="shared" si="393"/>
        <v>Mortality</v>
      </c>
      <c r="AR285" s="196" t="s">
        <v>459</v>
      </c>
      <c r="AS285" s="105">
        <f t="shared" si="394"/>
        <v>28</v>
      </c>
      <c r="AT285" s="158" t="s">
        <v>460</v>
      </c>
      <c r="AU285" s="197"/>
      <c r="AV285" s="154">
        <f t="shared" ref="AV285:AV288" si="400">AK285</f>
        <v>1.0977049060346529</v>
      </c>
      <c r="AW285" s="155"/>
      <c r="AX285" s="197"/>
      <c r="AY285" s="198"/>
    </row>
    <row r="286" spans="1:52" x14ac:dyDescent="0.2">
      <c r="A286" s="19" t="s">
        <v>146</v>
      </c>
      <c r="B286" s="9">
        <v>254</v>
      </c>
      <c r="C286" s="10" t="s">
        <v>24</v>
      </c>
      <c r="D286" s="11" t="s">
        <v>139</v>
      </c>
      <c r="E286" s="9" t="s">
        <v>121</v>
      </c>
      <c r="F286" s="9" t="s">
        <v>127</v>
      </c>
      <c r="G286" s="9" t="s">
        <v>52</v>
      </c>
      <c r="H286" s="9" t="s">
        <v>571</v>
      </c>
      <c r="I286" s="12" t="s">
        <v>140</v>
      </c>
      <c r="J286" s="12" t="s">
        <v>53</v>
      </c>
      <c r="K286" s="12" t="s">
        <v>53</v>
      </c>
      <c r="L286" s="12" t="s">
        <v>133</v>
      </c>
      <c r="M286" s="12">
        <v>28</v>
      </c>
      <c r="N286" s="9" t="s">
        <v>55</v>
      </c>
      <c r="O286" s="13" t="s">
        <v>33</v>
      </c>
      <c r="P286" s="14" t="s">
        <v>129</v>
      </c>
      <c r="Q286" s="9" t="s">
        <v>130</v>
      </c>
      <c r="R286" s="9">
        <v>20</v>
      </c>
      <c r="S286" s="9" t="s">
        <v>131</v>
      </c>
      <c r="T286" s="9">
        <v>8.1999999999999993</v>
      </c>
      <c r="U286" s="9">
        <v>5.9020000000000001</v>
      </c>
      <c r="V286" s="9" t="s">
        <v>134</v>
      </c>
      <c r="W286" s="9" t="s">
        <v>37</v>
      </c>
      <c r="X286" s="9">
        <v>7.67</v>
      </c>
      <c r="Y286" s="9">
        <v>0.13</v>
      </c>
      <c r="Z286" s="15">
        <f t="shared" si="382"/>
        <v>0.4284575216169903</v>
      </c>
      <c r="AA286" s="15">
        <f t="shared" si="396"/>
        <v>0.23983235464286573</v>
      </c>
      <c r="AB286" t="s">
        <v>577</v>
      </c>
      <c r="AC286" s="16">
        <f t="shared" si="383"/>
        <v>0.30760968147407108</v>
      </c>
      <c r="AD286" s="26">
        <f t="shared" si="384"/>
        <v>3.2508729738543409</v>
      </c>
      <c r="AE286" s="51">
        <v>29</v>
      </c>
      <c r="AF286" s="85" t="str">
        <f t="shared" si="385"/>
        <v>IC10</v>
      </c>
      <c r="AG286" s="9">
        <f t="shared" si="386"/>
        <v>1</v>
      </c>
      <c r="AH286" s="18">
        <f t="shared" si="387"/>
        <v>0.23983235464286573</v>
      </c>
      <c r="AI286" s="88" t="str">
        <f t="shared" si="388"/>
        <v>Chronic</v>
      </c>
      <c r="AJ286" s="9">
        <f t="shared" si="389"/>
        <v>1</v>
      </c>
      <c r="AK286" s="18">
        <f t="shared" si="390"/>
        <v>0.23983235464286573</v>
      </c>
      <c r="AL286" s="16"/>
      <c r="AM286" s="110" t="str">
        <f t="shared" si="391"/>
        <v>IC10</v>
      </c>
      <c r="AN286" s="111" t="s">
        <v>356</v>
      </c>
      <c r="AO286" s="112" t="str">
        <f t="shared" si="392"/>
        <v>Chronic</v>
      </c>
      <c r="AP286" s="111" t="str">
        <f t="shared" si="397"/>
        <v>y</v>
      </c>
      <c r="AQ286" s="134" t="str">
        <f t="shared" si="393"/>
        <v>Mortality</v>
      </c>
      <c r="AR286" s="199" t="s">
        <v>459</v>
      </c>
      <c r="AS286" s="114">
        <f t="shared" si="394"/>
        <v>28</v>
      </c>
      <c r="AT286" s="199" t="s">
        <v>460</v>
      </c>
      <c r="AU286" s="200"/>
      <c r="AV286" s="152">
        <f t="shared" si="400"/>
        <v>0.23983235464286573</v>
      </c>
      <c r="AW286" s="116">
        <f>GEOMEAN(AV285:AV286)</f>
        <v>0.51309370715037661</v>
      </c>
      <c r="AX286" s="117">
        <f>MIN(AW286)</f>
        <v>0.51309370715037661</v>
      </c>
      <c r="AY286" s="125">
        <f>MIN(AX286:AX286)</f>
        <v>0.51309370715037661</v>
      </c>
    </row>
    <row r="287" spans="1:52" x14ac:dyDescent="0.2">
      <c r="A287" s="32" t="s">
        <v>148</v>
      </c>
      <c r="B287" s="33">
        <v>256</v>
      </c>
      <c r="C287" s="38" t="s">
        <v>24</v>
      </c>
      <c r="D287" s="35" t="s">
        <v>149</v>
      </c>
      <c r="E287" s="33" t="s">
        <v>121</v>
      </c>
      <c r="F287" s="33" t="s">
        <v>127</v>
      </c>
      <c r="G287" s="33" t="s">
        <v>52</v>
      </c>
      <c r="H287" s="33" t="s">
        <v>571</v>
      </c>
      <c r="I287" s="33" t="s">
        <v>37</v>
      </c>
      <c r="J287" s="36" t="s">
        <v>53</v>
      </c>
      <c r="K287" s="36" t="s">
        <v>53</v>
      </c>
      <c r="L287" s="36" t="s">
        <v>54</v>
      </c>
      <c r="M287" s="36">
        <v>6</v>
      </c>
      <c r="N287" s="33" t="s">
        <v>102</v>
      </c>
      <c r="O287" s="37" t="s">
        <v>33</v>
      </c>
      <c r="P287" s="38" t="s">
        <v>150</v>
      </c>
      <c r="Q287" s="33" t="s">
        <v>151</v>
      </c>
      <c r="R287" s="33">
        <v>21.8</v>
      </c>
      <c r="S287" s="33" t="s">
        <v>152</v>
      </c>
      <c r="T287" s="33">
        <v>7.8</v>
      </c>
      <c r="U287" s="33">
        <v>2.7679999999999998</v>
      </c>
      <c r="V287" s="33" t="s">
        <v>37</v>
      </c>
      <c r="W287" s="33">
        <v>30</v>
      </c>
      <c r="X287" s="33">
        <v>30</v>
      </c>
      <c r="Y287" s="40">
        <f t="shared" ref="Y287" si="401">X287/((U287/100)*1000)</f>
        <v>1.0838150289017343</v>
      </c>
      <c r="Z287" s="40">
        <f t="shared" si="382"/>
        <v>2.0127302212112239</v>
      </c>
      <c r="AA287" s="40">
        <f t="shared" si="396"/>
        <v>1.2652768660231777</v>
      </c>
      <c r="AB287" s="16"/>
      <c r="AC287" s="16">
        <f t="shared" si="383"/>
        <v>0.77268058509570214</v>
      </c>
      <c r="AD287" s="26">
        <f t="shared" si="384"/>
        <v>1.2941958414499863</v>
      </c>
      <c r="AE287" s="51">
        <v>29</v>
      </c>
      <c r="AF287" s="85" t="str">
        <f t="shared" si="385"/>
        <v>NOEC</v>
      </c>
      <c r="AG287" s="9">
        <f t="shared" si="386"/>
        <v>1</v>
      </c>
      <c r="AH287" s="18">
        <f t="shared" si="387"/>
        <v>1.2652768660231777</v>
      </c>
      <c r="AI287" s="88" t="str">
        <f t="shared" si="388"/>
        <v>Chronic</v>
      </c>
      <c r="AJ287" s="9">
        <f t="shared" si="389"/>
        <v>1</v>
      </c>
      <c r="AK287" s="18">
        <f t="shared" si="390"/>
        <v>1.2652768660231777</v>
      </c>
      <c r="AL287" s="16"/>
      <c r="AM287" s="101" t="str">
        <f t="shared" si="391"/>
        <v>NOEC</v>
      </c>
      <c r="AN287" s="102" t="s">
        <v>356</v>
      </c>
      <c r="AO287" s="103" t="str">
        <f t="shared" si="392"/>
        <v>Chronic</v>
      </c>
      <c r="AP287" s="102" t="str">
        <f t="shared" si="397"/>
        <v>y</v>
      </c>
      <c r="AQ287" s="104" t="str">
        <f t="shared" si="393"/>
        <v>Mortality</v>
      </c>
      <c r="AR287" s="102" t="s">
        <v>459</v>
      </c>
      <c r="AS287" s="105">
        <f t="shared" si="394"/>
        <v>6</v>
      </c>
      <c r="AT287" s="102" t="s">
        <v>460</v>
      </c>
      <c r="AU287" s="102"/>
      <c r="AV287" s="154">
        <f t="shared" si="400"/>
        <v>1.2652768660231777</v>
      </c>
      <c r="AW287" s="118">
        <f>GEOMEAN(AV287)</f>
        <v>1.2652768660231777</v>
      </c>
      <c r="AX287" s="119">
        <f>MIN(AW287:AW287)</f>
        <v>1.2652768660231777</v>
      </c>
      <c r="AY287" s="126">
        <f>MIN(AX287)</f>
        <v>1.2652768660231777</v>
      </c>
    </row>
    <row r="288" spans="1:52" x14ac:dyDescent="0.2">
      <c r="A288" s="8" t="s">
        <v>168</v>
      </c>
      <c r="B288" s="9">
        <v>242</v>
      </c>
      <c r="C288" s="10" t="s">
        <v>24</v>
      </c>
      <c r="D288" s="11" t="s">
        <v>155</v>
      </c>
      <c r="E288" s="9" t="s">
        <v>121</v>
      </c>
      <c r="F288" s="9" t="s">
        <v>127</v>
      </c>
      <c r="G288" s="9" t="s">
        <v>52</v>
      </c>
      <c r="H288" s="9" t="s">
        <v>571</v>
      </c>
      <c r="I288" s="12" t="s">
        <v>156</v>
      </c>
      <c r="J288" s="12" t="s">
        <v>136</v>
      </c>
      <c r="K288" s="12" t="s">
        <v>169</v>
      </c>
      <c r="L288" s="12" t="s">
        <v>54</v>
      </c>
      <c r="M288" s="12">
        <v>60</v>
      </c>
      <c r="N288" s="9" t="s">
        <v>55</v>
      </c>
      <c r="O288" s="13" t="s">
        <v>33</v>
      </c>
      <c r="P288" s="14" t="s">
        <v>157</v>
      </c>
      <c r="Q288" s="9">
        <v>20</v>
      </c>
      <c r="R288" s="9">
        <v>20</v>
      </c>
      <c r="S288" s="28" t="s">
        <v>158</v>
      </c>
      <c r="T288" s="28">
        <v>7.73</v>
      </c>
      <c r="U288" s="26" t="s">
        <v>170</v>
      </c>
      <c r="V288" s="9">
        <v>0.65</v>
      </c>
      <c r="W288" s="9">
        <v>12</v>
      </c>
      <c r="X288" s="9">
        <v>12</v>
      </c>
      <c r="Y288" s="9">
        <v>0.65</v>
      </c>
      <c r="Z288" s="15">
        <f t="shared" si="382"/>
        <v>1.1105489745328638</v>
      </c>
      <c r="AA288" s="15">
        <f t="shared" si="396"/>
        <v>0.62163823032737009</v>
      </c>
      <c r="AC288" s="16">
        <f t="shared" si="383"/>
        <v>0.90782053017818432</v>
      </c>
      <c r="AD288" s="26">
        <f t="shared" si="384"/>
        <v>1.1015393095414168</v>
      </c>
      <c r="AE288" s="51">
        <v>29</v>
      </c>
      <c r="AF288" s="85" t="str">
        <f t="shared" si="385"/>
        <v>NOEC</v>
      </c>
      <c r="AG288" s="9">
        <f t="shared" si="386"/>
        <v>1</v>
      </c>
      <c r="AH288" s="18">
        <f t="shared" si="387"/>
        <v>0.62163823032737009</v>
      </c>
      <c r="AI288" s="88" t="str">
        <f t="shared" si="388"/>
        <v>Chronic</v>
      </c>
      <c r="AJ288" s="9">
        <f t="shared" si="389"/>
        <v>1</v>
      </c>
      <c r="AK288" s="18">
        <f t="shared" si="390"/>
        <v>0.62163823032737009</v>
      </c>
      <c r="AL288" s="16"/>
      <c r="AM288" s="110" t="str">
        <f t="shared" si="391"/>
        <v>NOEC</v>
      </c>
      <c r="AN288" s="111" t="s">
        <v>356</v>
      </c>
      <c r="AO288" s="112" t="str">
        <f t="shared" si="392"/>
        <v>Chronic</v>
      </c>
      <c r="AP288" s="111" t="str">
        <f t="shared" si="397"/>
        <v>y</v>
      </c>
      <c r="AQ288" s="134" t="str">
        <f t="shared" si="393"/>
        <v>Length</v>
      </c>
      <c r="AR288" s="111" t="s">
        <v>475</v>
      </c>
      <c r="AS288" s="114">
        <f t="shared" si="394"/>
        <v>60</v>
      </c>
      <c r="AT288" s="111" t="s">
        <v>476</v>
      </c>
      <c r="AU288" s="111"/>
      <c r="AV288" s="152">
        <f t="shared" si="400"/>
        <v>0.62163823032737009</v>
      </c>
      <c r="AW288" s="116">
        <f>GEOMEAN(AV288)</f>
        <v>0.62163823032737009</v>
      </c>
      <c r="AX288" s="117">
        <f>MIN(AW288)</f>
        <v>0.62163823032737009</v>
      </c>
      <c r="AY288" s="125">
        <f>MIN(AX288:AX288)</f>
        <v>0.62163823032737009</v>
      </c>
    </row>
    <row r="289" spans="1:52" x14ac:dyDescent="0.2">
      <c r="A289" s="32" t="s">
        <v>176</v>
      </c>
      <c r="B289" s="33">
        <v>254</v>
      </c>
      <c r="C289" s="34" t="s">
        <v>24</v>
      </c>
      <c r="D289" s="35" t="s">
        <v>172</v>
      </c>
      <c r="E289" s="33" t="s">
        <v>121</v>
      </c>
      <c r="F289" s="33" t="s">
        <v>127</v>
      </c>
      <c r="G289" s="33" t="s">
        <v>52</v>
      </c>
      <c r="H289" s="33" t="s">
        <v>571</v>
      </c>
      <c r="I289" s="36" t="s">
        <v>128</v>
      </c>
      <c r="J289" s="36" t="s">
        <v>177</v>
      </c>
      <c r="K289" s="36" t="s">
        <v>137</v>
      </c>
      <c r="L289" s="36" t="s">
        <v>133</v>
      </c>
      <c r="M289" s="36">
        <v>28</v>
      </c>
      <c r="N289" s="33" t="s">
        <v>55</v>
      </c>
      <c r="O289" s="37" t="s">
        <v>33</v>
      </c>
      <c r="P289" s="38" t="s">
        <v>129</v>
      </c>
      <c r="Q289" s="33" t="s">
        <v>130</v>
      </c>
      <c r="R289" s="33">
        <v>20</v>
      </c>
      <c r="S289" s="33" t="s">
        <v>131</v>
      </c>
      <c r="T289" s="33">
        <v>8.1999999999999993</v>
      </c>
      <c r="U289" s="33">
        <v>5.9020000000000001</v>
      </c>
      <c r="V289" s="33" t="s">
        <v>175</v>
      </c>
      <c r="W289" s="33" t="s">
        <v>37</v>
      </c>
      <c r="X289" s="33">
        <v>23.6</v>
      </c>
      <c r="Y289" s="33">
        <v>0.4</v>
      </c>
      <c r="Z289" s="40">
        <f t="shared" si="382"/>
        <v>1.3183308357445855</v>
      </c>
      <c r="AA289" s="40">
        <f t="shared" si="396"/>
        <v>0.73794570659343317</v>
      </c>
      <c r="AB289" t="s">
        <v>577</v>
      </c>
      <c r="AC289" s="16">
        <f t="shared" si="383"/>
        <v>0.30760968147407108</v>
      </c>
      <c r="AD289" s="26">
        <f t="shared" si="384"/>
        <v>3.2508729738543409</v>
      </c>
      <c r="AE289" s="51">
        <v>29</v>
      </c>
      <c r="AF289" s="85" t="str">
        <f t="shared" si="385"/>
        <v>IC10</v>
      </c>
      <c r="AG289" s="9">
        <f t="shared" si="386"/>
        <v>1</v>
      </c>
      <c r="AH289" s="18">
        <f t="shared" si="387"/>
        <v>0.73794570659343317</v>
      </c>
      <c r="AI289" s="88" t="str">
        <f t="shared" si="388"/>
        <v>Chronic</v>
      </c>
      <c r="AJ289" s="9">
        <f t="shared" si="389"/>
        <v>1</v>
      </c>
      <c r="AK289" s="18">
        <f t="shared" si="390"/>
        <v>0.73794570659343317</v>
      </c>
      <c r="AL289" s="16"/>
      <c r="AM289" s="110" t="str">
        <f t="shared" si="391"/>
        <v>IC10</v>
      </c>
      <c r="AN289" s="111" t="s">
        <v>356</v>
      </c>
      <c r="AO289" s="112" t="str">
        <f t="shared" si="392"/>
        <v>Chronic</v>
      </c>
      <c r="AP289" s="111" t="str">
        <f t="shared" si="397"/>
        <v>y</v>
      </c>
      <c r="AQ289" s="134" t="str">
        <f t="shared" si="393"/>
        <v>Shell length</v>
      </c>
      <c r="AR289" s="111" t="s">
        <v>473</v>
      </c>
      <c r="AS289" s="114">
        <f t="shared" si="394"/>
        <v>28</v>
      </c>
      <c r="AT289" s="111" t="s">
        <v>474</v>
      </c>
      <c r="AU289" s="111"/>
      <c r="AV289" s="152">
        <f>AK289</f>
        <v>0.73794570659343317</v>
      </c>
      <c r="AW289" s="116">
        <f>GEOMEAN(AV289)</f>
        <v>0.73794570659343317</v>
      </c>
      <c r="AX289" s="117">
        <f>MIN(AW289)</f>
        <v>0.73794570659343317</v>
      </c>
      <c r="AY289" s="125">
        <f>MIN(AX289:AX289)</f>
        <v>0.73794570659343317</v>
      </c>
    </row>
    <row r="290" spans="1:52" x14ac:dyDescent="0.2">
      <c r="A290" s="193" t="s">
        <v>617</v>
      </c>
    </row>
    <row r="291" spans="1:52" x14ac:dyDescent="0.2">
      <c r="A291" s="32" t="s">
        <v>48</v>
      </c>
      <c r="B291" s="33">
        <v>236</v>
      </c>
      <c r="C291" s="34" t="s">
        <v>24</v>
      </c>
      <c r="D291" s="35" t="s">
        <v>49</v>
      </c>
      <c r="E291" s="33" t="s">
        <v>50</v>
      </c>
      <c r="F291" s="33" t="s">
        <v>51</v>
      </c>
      <c r="G291" s="33" t="s">
        <v>52</v>
      </c>
      <c r="H291" s="33" t="s">
        <v>571</v>
      </c>
      <c r="I291" s="36" t="s">
        <v>37</v>
      </c>
      <c r="J291" s="36" t="s">
        <v>53</v>
      </c>
      <c r="K291" s="36" t="s">
        <v>53</v>
      </c>
      <c r="L291" s="36" t="s">
        <v>54</v>
      </c>
      <c r="M291" s="36">
        <v>30</v>
      </c>
      <c r="N291" s="33" t="s">
        <v>55</v>
      </c>
      <c r="O291" s="37" t="s">
        <v>33</v>
      </c>
      <c r="P291" s="38" t="s">
        <v>56</v>
      </c>
      <c r="Q291" s="33" t="s">
        <v>57</v>
      </c>
      <c r="R291" s="40">
        <v>15.1</v>
      </c>
      <c r="S291" s="33" t="s">
        <v>58</v>
      </c>
      <c r="T291" s="33">
        <v>8.11</v>
      </c>
      <c r="U291" s="33">
        <v>3.42</v>
      </c>
      <c r="V291" s="33" t="s">
        <v>37</v>
      </c>
      <c r="W291" s="33">
        <v>20</v>
      </c>
      <c r="X291" s="40">
        <v>20</v>
      </c>
      <c r="Y291" s="40">
        <f t="shared" ref="Y291:Y295" si="402">X291/((U291/100)*1000)</f>
        <v>0.58479532163742687</v>
      </c>
      <c r="Z291" s="40">
        <f t="shared" ref="Z291:Z304" si="403">Y291/((0.0278/(1+AC291))+(1.1994/(1+AD291)))</f>
        <v>1.6734482467670493</v>
      </c>
      <c r="AA291" s="40">
        <f>POWER(10,LOG(Z291)-(-0.028*(R291-AE291)))</f>
        <v>0.6403424390206508</v>
      </c>
      <c r="AC291" s="16">
        <f t="shared" ref="AC291:AC304" si="404">POWER(10,7.688-T291)</f>
        <v>0.37844258471709358</v>
      </c>
      <c r="AD291" s="26">
        <f t="shared" ref="AD291:AD304" si="405">POWER(10,T291-7.688)</f>
        <v>2.6424087573219448</v>
      </c>
      <c r="AE291" s="51">
        <v>30</v>
      </c>
      <c r="AF291" s="85" t="str">
        <f t="shared" ref="AF291:AF304" si="406">L291</f>
        <v>NOEC</v>
      </c>
      <c r="AG291" s="9">
        <f t="shared" ref="AG291:AG304" si="407">VLOOKUP(AF291,$BD$6:$BE$17,2,FALSE)</f>
        <v>1</v>
      </c>
      <c r="AH291" s="18">
        <f t="shared" ref="AH291:AH304" si="408">AA291/AG291</f>
        <v>0.6403424390206508</v>
      </c>
      <c r="AI291" s="88" t="str">
        <f t="shared" ref="AI291:AI304" si="409">O291</f>
        <v>Chronic</v>
      </c>
      <c r="AJ291" s="9">
        <f t="shared" ref="AJ291:AJ304" si="410">VLOOKUP(AI291,$BD$19:$BF$20,2,FALSE)</f>
        <v>1</v>
      </c>
      <c r="AK291" s="18">
        <f t="shared" ref="AK291:AK304" si="411">AH291/AJ291</f>
        <v>0.6403424390206508</v>
      </c>
      <c r="AL291" s="16"/>
      <c r="AM291" s="127" t="str">
        <f t="shared" ref="AM291:AM304" si="412">L291</f>
        <v>NOEC</v>
      </c>
      <c r="AN291" s="128" t="s">
        <v>356</v>
      </c>
      <c r="AO291" s="129" t="str">
        <f t="shared" ref="AO291:AO304" si="413">O291</f>
        <v>Chronic</v>
      </c>
      <c r="AP291" s="128" t="str">
        <f>IF(AO291="chronic","y","n")</f>
        <v>y</v>
      </c>
      <c r="AQ291" s="130" t="str">
        <f t="shared" ref="AQ291:AQ304" si="414">K291</f>
        <v>Mortality</v>
      </c>
      <c r="AR291" s="128" t="s">
        <v>459</v>
      </c>
      <c r="AS291" s="131">
        <f t="shared" ref="AS291:AS304" si="415">M291</f>
        <v>30</v>
      </c>
      <c r="AT291" s="128" t="s">
        <v>460</v>
      </c>
      <c r="AU291" s="128"/>
      <c r="AV291" s="189">
        <f t="shared" ref="AV291:AV297" si="416">AK291</f>
        <v>0.6403424390206508</v>
      </c>
      <c r="AW291" s="190">
        <f>GEOMEAN(AV291)</f>
        <v>0.6403424390206508</v>
      </c>
      <c r="AX291" s="191">
        <f>MIN(AW291)</f>
        <v>0.6403424390206508</v>
      </c>
      <c r="AY291" s="192">
        <f>MIN(AX291)</f>
        <v>0.6403424390206508</v>
      </c>
      <c r="AZ291" s="206" t="str">
        <f>A290</f>
        <v>30°C</v>
      </c>
    </row>
    <row r="292" spans="1:52" x14ac:dyDescent="0.2">
      <c r="A292" s="19" t="s">
        <v>59</v>
      </c>
      <c r="B292" s="9">
        <v>245</v>
      </c>
      <c r="C292" s="10" t="s">
        <v>24</v>
      </c>
      <c r="D292" s="11" t="s">
        <v>60</v>
      </c>
      <c r="E292" s="20" t="s">
        <v>61</v>
      </c>
      <c r="F292" s="9" t="s">
        <v>62</v>
      </c>
      <c r="G292" s="9" t="s">
        <v>52</v>
      </c>
      <c r="H292" s="9" t="s">
        <v>571</v>
      </c>
      <c r="I292" s="12" t="s">
        <v>63</v>
      </c>
      <c r="J292" s="12" t="s">
        <v>64</v>
      </c>
      <c r="K292" s="12" t="s">
        <v>64</v>
      </c>
      <c r="L292" s="12" t="s">
        <v>54</v>
      </c>
      <c r="M292" s="12">
        <v>7</v>
      </c>
      <c r="N292" s="9" t="s">
        <v>55</v>
      </c>
      <c r="O292" s="21" t="s">
        <v>33</v>
      </c>
      <c r="P292" s="14" t="s">
        <v>65</v>
      </c>
      <c r="Q292" s="9">
        <v>25</v>
      </c>
      <c r="R292" s="9">
        <v>25</v>
      </c>
      <c r="S292" s="22">
        <v>8</v>
      </c>
      <c r="T292" s="22">
        <v>8</v>
      </c>
      <c r="U292" s="20">
        <v>5.3659999999999997</v>
      </c>
      <c r="V292" s="20" t="s">
        <v>37</v>
      </c>
      <c r="W292" s="20">
        <v>680</v>
      </c>
      <c r="X292" s="9">
        <v>680</v>
      </c>
      <c r="Y292" s="27">
        <f t="shared" si="402"/>
        <v>12.672381662318301</v>
      </c>
      <c r="Z292" s="15">
        <f t="shared" si="403"/>
        <v>30.774279778328605</v>
      </c>
      <c r="AA292" s="15">
        <f t="shared" ref="AA292:AA304" si="417">POWER(10,LOG(Z292)-(-0.028*(R292-AE292)))</f>
        <v>22.293994916829828</v>
      </c>
      <c r="AC292" s="16">
        <f t="shared" si="404"/>
        <v>0.48752849010338595</v>
      </c>
      <c r="AD292" s="26">
        <f t="shared" si="405"/>
        <v>2.051162178825567</v>
      </c>
      <c r="AE292" s="51">
        <v>30</v>
      </c>
      <c r="AF292" s="85" t="str">
        <f t="shared" si="406"/>
        <v>NOEC</v>
      </c>
      <c r="AG292" s="9">
        <f t="shared" si="407"/>
        <v>1</v>
      </c>
      <c r="AH292" s="18">
        <f t="shared" si="408"/>
        <v>22.293994916829828</v>
      </c>
      <c r="AI292" s="88" t="str">
        <f t="shared" si="409"/>
        <v>Chronic</v>
      </c>
      <c r="AJ292" s="9">
        <f t="shared" si="410"/>
        <v>1</v>
      </c>
      <c r="AK292" s="18">
        <f t="shared" si="411"/>
        <v>22.293994916829828</v>
      </c>
      <c r="AL292" s="16"/>
      <c r="AM292" s="101" t="str">
        <f t="shared" si="412"/>
        <v>NOEC</v>
      </c>
      <c r="AN292" s="102" t="s">
        <v>356</v>
      </c>
      <c r="AO292" s="103" t="str">
        <f t="shared" si="413"/>
        <v>Chronic</v>
      </c>
      <c r="AP292" s="102" t="str">
        <f t="shared" ref="AP292:AP304" si="418">IF(AO292="chronic","y","n")</f>
        <v>y</v>
      </c>
      <c r="AQ292" s="104" t="str">
        <f t="shared" si="414"/>
        <v>Reproduction</v>
      </c>
      <c r="AR292" s="102" t="s">
        <v>459</v>
      </c>
      <c r="AS292" s="105">
        <f t="shared" si="415"/>
        <v>7</v>
      </c>
      <c r="AT292" s="102" t="s">
        <v>460</v>
      </c>
      <c r="AU292" s="102"/>
      <c r="AV292" s="106">
        <f t="shared" si="416"/>
        <v>22.293994916829828</v>
      </c>
      <c r="AW292" s="107">
        <f>GEOMEAN(AV292:AV292)</f>
        <v>22.293994916829828</v>
      </c>
      <c r="AX292" s="108">
        <f>MIN(AW292:AW292)</f>
        <v>22.293994916829828</v>
      </c>
      <c r="AY292" s="109">
        <f>MIN(AX292)</f>
        <v>22.293994916829828</v>
      </c>
    </row>
    <row r="293" spans="1:52" x14ac:dyDescent="0.2">
      <c r="A293" s="32" t="s">
        <v>82</v>
      </c>
      <c r="B293" s="33">
        <v>240</v>
      </c>
      <c r="C293" s="34" t="s">
        <v>24</v>
      </c>
      <c r="D293" s="35" t="s">
        <v>77</v>
      </c>
      <c r="E293" s="33" t="s">
        <v>61</v>
      </c>
      <c r="F293" s="33" t="s">
        <v>62</v>
      </c>
      <c r="G293" s="33" t="s">
        <v>52</v>
      </c>
      <c r="H293" s="33" t="s">
        <v>571</v>
      </c>
      <c r="I293" s="36" t="s">
        <v>78</v>
      </c>
      <c r="J293" s="36" t="s">
        <v>83</v>
      </c>
      <c r="K293" s="36" t="s">
        <v>84</v>
      </c>
      <c r="L293" s="36" t="s">
        <v>54</v>
      </c>
      <c r="M293" s="36">
        <v>21</v>
      </c>
      <c r="N293" s="33" t="s">
        <v>55</v>
      </c>
      <c r="O293" s="37" t="s">
        <v>33</v>
      </c>
      <c r="P293" s="38" t="s">
        <v>79</v>
      </c>
      <c r="Q293" s="33" t="s">
        <v>80</v>
      </c>
      <c r="R293" s="40">
        <v>19.8</v>
      </c>
      <c r="S293" s="33" t="s">
        <v>81</v>
      </c>
      <c r="T293" s="33">
        <v>8.4499999999999993</v>
      </c>
      <c r="U293" s="33">
        <v>9.9039999999999999</v>
      </c>
      <c r="V293" s="44" t="s">
        <v>37</v>
      </c>
      <c r="W293" s="44" t="s">
        <v>37</v>
      </c>
      <c r="X293" s="33">
        <v>420</v>
      </c>
      <c r="Y293" s="40">
        <f t="shared" si="402"/>
        <v>4.2407108239095308</v>
      </c>
      <c r="Z293" s="40">
        <f t="shared" si="403"/>
        <v>21.142464693435951</v>
      </c>
      <c r="AA293" s="40">
        <f t="shared" si="417"/>
        <v>10.953568134126277</v>
      </c>
      <c r="AC293" s="16">
        <f t="shared" si="404"/>
        <v>0.17298163592151028</v>
      </c>
      <c r="AD293" s="26">
        <f t="shared" si="405"/>
        <v>5.7809604740571769</v>
      </c>
      <c r="AE293" s="51">
        <v>30</v>
      </c>
      <c r="AF293" s="85" t="str">
        <f t="shared" si="406"/>
        <v>NOEC</v>
      </c>
      <c r="AG293" s="9">
        <f t="shared" si="407"/>
        <v>1</v>
      </c>
      <c r="AH293" s="18">
        <f t="shared" si="408"/>
        <v>10.953568134126277</v>
      </c>
      <c r="AI293" s="88" t="str">
        <f t="shared" si="409"/>
        <v>Chronic</v>
      </c>
      <c r="AJ293" s="9">
        <f t="shared" si="410"/>
        <v>1</v>
      </c>
      <c r="AK293" s="18">
        <f t="shared" si="411"/>
        <v>10.953568134126277</v>
      </c>
      <c r="AL293" s="16"/>
      <c r="AM293" s="101" t="str">
        <f t="shared" si="412"/>
        <v>NOEC</v>
      </c>
      <c r="AN293" s="102" t="s">
        <v>356</v>
      </c>
      <c r="AO293" s="103" t="str">
        <f t="shared" si="413"/>
        <v>Chronic</v>
      </c>
      <c r="AP293" s="102" t="str">
        <f t="shared" si="418"/>
        <v>y</v>
      </c>
      <c r="AQ293" s="104" t="str">
        <f t="shared" si="414"/>
        <v>Mean total young/daphnid</v>
      </c>
      <c r="AR293" s="102" t="s">
        <v>459</v>
      </c>
      <c r="AS293" s="105">
        <f t="shared" si="415"/>
        <v>21</v>
      </c>
      <c r="AT293" s="102" t="s">
        <v>460</v>
      </c>
      <c r="AU293" s="102"/>
      <c r="AV293" s="147">
        <f t="shared" si="416"/>
        <v>10.953568134126277</v>
      </c>
      <c r="AW293" s="107">
        <f>GEOMEAN(AV293:AV293)</f>
        <v>10.953568134126277</v>
      </c>
      <c r="AX293" s="108">
        <f>MIN(AW293)</f>
        <v>10.953568134126277</v>
      </c>
      <c r="AY293" s="109"/>
    </row>
    <row r="294" spans="1:52" x14ac:dyDescent="0.2">
      <c r="A294" s="32" t="s">
        <v>87</v>
      </c>
      <c r="B294" s="33">
        <v>240</v>
      </c>
      <c r="C294" s="34" t="s">
        <v>24</v>
      </c>
      <c r="D294" s="35" t="s">
        <v>77</v>
      </c>
      <c r="E294" s="33" t="s">
        <v>61</v>
      </c>
      <c r="F294" s="33" t="s">
        <v>62</v>
      </c>
      <c r="G294" s="33" t="s">
        <v>52</v>
      </c>
      <c r="H294" s="33" t="s">
        <v>571</v>
      </c>
      <c r="I294" s="36" t="s">
        <v>78</v>
      </c>
      <c r="J294" s="36" t="s">
        <v>83</v>
      </c>
      <c r="K294" s="36" t="s">
        <v>88</v>
      </c>
      <c r="L294" s="36" t="s">
        <v>54</v>
      </c>
      <c r="M294" s="36">
        <v>21</v>
      </c>
      <c r="N294" s="33" t="s">
        <v>55</v>
      </c>
      <c r="O294" s="37" t="s">
        <v>33</v>
      </c>
      <c r="P294" s="38" t="s">
        <v>79</v>
      </c>
      <c r="Q294" s="33" t="s">
        <v>80</v>
      </c>
      <c r="R294" s="40">
        <v>19.8</v>
      </c>
      <c r="S294" s="33" t="s">
        <v>81</v>
      </c>
      <c r="T294" s="33">
        <v>8.4499999999999993</v>
      </c>
      <c r="U294" s="33">
        <v>9.9039999999999999</v>
      </c>
      <c r="V294" s="44" t="s">
        <v>37</v>
      </c>
      <c r="W294" s="44" t="s">
        <v>37</v>
      </c>
      <c r="X294" s="33">
        <v>420</v>
      </c>
      <c r="Y294" s="40">
        <f t="shared" si="402"/>
        <v>4.2407108239095308</v>
      </c>
      <c r="Z294" s="40">
        <f t="shared" si="403"/>
        <v>21.142464693435951</v>
      </c>
      <c r="AA294" s="40">
        <f t="shared" si="417"/>
        <v>10.953568134126277</v>
      </c>
      <c r="AC294" s="16">
        <f t="shared" si="404"/>
        <v>0.17298163592151028</v>
      </c>
      <c r="AD294" s="26">
        <f t="shared" si="405"/>
        <v>5.7809604740571769</v>
      </c>
      <c r="AE294" s="51">
        <v>30</v>
      </c>
      <c r="AF294" s="85" t="str">
        <f t="shared" si="406"/>
        <v>NOEC</v>
      </c>
      <c r="AG294" s="9">
        <f t="shared" si="407"/>
        <v>1</v>
      </c>
      <c r="AH294" s="18">
        <f t="shared" si="408"/>
        <v>10.953568134126277</v>
      </c>
      <c r="AI294" s="88" t="str">
        <f t="shared" si="409"/>
        <v>Chronic</v>
      </c>
      <c r="AJ294" s="9">
        <f t="shared" si="410"/>
        <v>1</v>
      </c>
      <c r="AK294" s="18">
        <f t="shared" si="411"/>
        <v>10.953568134126277</v>
      </c>
      <c r="AL294" s="16"/>
      <c r="AM294" s="132" t="str">
        <f t="shared" si="412"/>
        <v>NOEC</v>
      </c>
      <c r="AN294" s="67" t="s">
        <v>356</v>
      </c>
      <c r="AO294" s="88" t="str">
        <f t="shared" si="413"/>
        <v>Chronic</v>
      </c>
      <c r="AP294" s="67" t="str">
        <f t="shared" si="418"/>
        <v>y</v>
      </c>
      <c r="AQ294" s="69" t="str">
        <f t="shared" si="414"/>
        <v>Mean brood size/daphnid</v>
      </c>
      <c r="AR294" s="67" t="s">
        <v>475</v>
      </c>
      <c r="AS294" s="70">
        <f t="shared" si="415"/>
        <v>21</v>
      </c>
      <c r="AT294" s="67" t="s">
        <v>476</v>
      </c>
      <c r="AU294" s="67"/>
      <c r="AV294" s="82">
        <f t="shared" si="416"/>
        <v>10.953568134126277</v>
      </c>
      <c r="AW294" s="81">
        <f>GEOMEAN(AV294:AV294)</f>
        <v>10.953568134126277</v>
      </c>
      <c r="AX294" s="78">
        <f>MIN(AW294)</f>
        <v>10.953568134126277</v>
      </c>
      <c r="AY294" s="133"/>
    </row>
    <row r="295" spans="1:52" x14ac:dyDescent="0.2">
      <c r="A295" s="32" t="s">
        <v>89</v>
      </c>
      <c r="B295" s="33">
        <v>240</v>
      </c>
      <c r="C295" s="34" t="s">
        <v>24</v>
      </c>
      <c r="D295" s="35" t="s">
        <v>77</v>
      </c>
      <c r="E295" s="33" t="s">
        <v>61</v>
      </c>
      <c r="F295" s="33" t="s">
        <v>62</v>
      </c>
      <c r="G295" s="33" t="s">
        <v>52</v>
      </c>
      <c r="H295" s="33" t="s">
        <v>571</v>
      </c>
      <c r="I295" s="36" t="s">
        <v>78</v>
      </c>
      <c r="J295" s="36" t="s">
        <v>53</v>
      </c>
      <c r="K295" s="36" t="s">
        <v>53</v>
      </c>
      <c r="L295" s="36" t="s">
        <v>54</v>
      </c>
      <c r="M295" s="36">
        <v>21</v>
      </c>
      <c r="N295" s="33" t="s">
        <v>55</v>
      </c>
      <c r="O295" s="37" t="s">
        <v>33</v>
      </c>
      <c r="P295" s="38" t="s">
        <v>79</v>
      </c>
      <c r="Q295" s="33" t="s">
        <v>80</v>
      </c>
      <c r="R295" s="40">
        <v>19.8</v>
      </c>
      <c r="S295" s="33" t="s">
        <v>81</v>
      </c>
      <c r="T295" s="33">
        <v>8.4499999999999993</v>
      </c>
      <c r="U295" s="33">
        <v>9.9039999999999999</v>
      </c>
      <c r="V295" s="44" t="s">
        <v>37</v>
      </c>
      <c r="W295" s="44" t="s">
        <v>37</v>
      </c>
      <c r="X295" s="33">
        <v>420</v>
      </c>
      <c r="Y295" s="40">
        <f t="shared" si="402"/>
        <v>4.2407108239095308</v>
      </c>
      <c r="Z295" s="40">
        <f t="shared" si="403"/>
        <v>21.142464693435951</v>
      </c>
      <c r="AA295" s="40">
        <f t="shared" si="417"/>
        <v>10.953568134126277</v>
      </c>
      <c r="AC295" s="16">
        <f t="shared" si="404"/>
        <v>0.17298163592151028</v>
      </c>
      <c r="AD295" s="26">
        <f t="shared" si="405"/>
        <v>5.7809604740571769</v>
      </c>
      <c r="AE295" s="51">
        <v>30</v>
      </c>
      <c r="AF295" s="85" t="str">
        <f t="shared" si="406"/>
        <v>NOEC</v>
      </c>
      <c r="AG295" s="9">
        <f t="shared" si="407"/>
        <v>1</v>
      </c>
      <c r="AH295" s="18">
        <f t="shared" si="408"/>
        <v>10.953568134126277</v>
      </c>
      <c r="AI295" s="88" t="str">
        <f t="shared" si="409"/>
        <v>Chronic</v>
      </c>
      <c r="AJ295" s="9">
        <f t="shared" si="410"/>
        <v>1</v>
      </c>
      <c r="AK295" s="18">
        <f t="shared" si="411"/>
        <v>10.953568134126277</v>
      </c>
      <c r="AL295" s="16"/>
      <c r="AM295" s="110" t="str">
        <f t="shared" si="412"/>
        <v>NOEC</v>
      </c>
      <c r="AN295" s="111" t="s">
        <v>356</v>
      </c>
      <c r="AO295" s="112" t="str">
        <f t="shared" si="413"/>
        <v>Chronic</v>
      </c>
      <c r="AP295" s="111" t="str">
        <f t="shared" si="418"/>
        <v>y</v>
      </c>
      <c r="AQ295" s="134" t="str">
        <f t="shared" si="414"/>
        <v>Mortality</v>
      </c>
      <c r="AR295" s="111" t="s">
        <v>55</v>
      </c>
      <c r="AS295" s="114">
        <f t="shared" si="415"/>
        <v>21</v>
      </c>
      <c r="AT295" s="111" t="s">
        <v>477</v>
      </c>
      <c r="AU295" s="111"/>
      <c r="AV295" s="138">
        <f t="shared" si="416"/>
        <v>10.953568134126277</v>
      </c>
      <c r="AW295" s="135">
        <f>GEOMEAN(AV295:AV295)</f>
        <v>10.953568134126277</v>
      </c>
      <c r="AX295" s="136">
        <f>MIN(AW295)</f>
        <v>10.953568134126277</v>
      </c>
      <c r="AY295" s="137">
        <f>MIN(AX293:AX295)</f>
        <v>10.953568134126277</v>
      </c>
    </row>
    <row r="296" spans="1:52" x14ac:dyDescent="0.2">
      <c r="A296" s="19" t="s">
        <v>90</v>
      </c>
      <c r="B296" s="23">
        <v>231</v>
      </c>
      <c r="C296" s="10" t="s">
        <v>24</v>
      </c>
      <c r="D296" s="11" t="s">
        <v>91</v>
      </c>
      <c r="E296" s="9" t="s">
        <v>61</v>
      </c>
      <c r="F296" s="9" t="s">
        <v>92</v>
      </c>
      <c r="G296" s="9" t="s">
        <v>93</v>
      </c>
      <c r="H296" s="9" t="s">
        <v>571</v>
      </c>
      <c r="I296" s="9" t="s">
        <v>94</v>
      </c>
      <c r="J296" s="12" t="s">
        <v>53</v>
      </c>
      <c r="K296" s="12" t="s">
        <v>95</v>
      </c>
      <c r="L296" s="12" t="s">
        <v>54</v>
      </c>
      <c r="M296" s="9">
        <v>29</v>
      </c>
      <c r="N296" s="9" t="s">
        <v>55</v>
      </c>
      <c r="O296" s="9" t="s">
        <v>33</v>
      </c>
      <c r="P296" s="14" t="s">
        <v>96</v>
      </c>
      <c r="Q296" s="23">
        <v>15.8</v>
      </c>
      <c r="R296" s="94">
        <v>15.8</v>
      </c>
      <c r="S296" s="9">
        <v>8.3699999999999992</v>
      </c>
      <c r="T296" s="9">
        <v>8.3699999999999992</v>
      </c>
      <c r="U296" s="9">
        <v>6.3609999999999998</v>
      </c>
      <c r="V296" s="9">
        <v>0.94899999999999995</v>
      </c>
      <c r="W296" s="9">
        <v>66</v>
      </c>
      <c r="X296" s="9">
        <v>66</v>
      </c>
      <c r="Y296" s="9">
        <v>0.94899999999999995</v>
      </c>
      <c r="Z296" s="15">
        <f t="shared" si="403"/>
        <v>4.1349303568432507</v>
      </c>
      <c r="AA296" s="15">
        <f t="shared" si="417"/>
        <v>1.6552675427254682</v>
      </c>
      <c r="AC296" s="16">
        <f t="shared" si="404"/>
        <v>0.20796966871036979</v>
      </c>
      <c r="AD296" s="26">
        <f t="shared" si="405"/>
        <v>4.8083934844972802</v>
      </c>
      <c r="AE296" s="51">
        <v>30</v>
      </c>
      <c r="AF296" s="85" t="str">
        <f t="shared" si="406"/>
        <v>NOEC</v>
      </c>
      <c r="AG296" s="9">
        <f t="shared" si="407"/>
        <v>1</v>
      </c>
      <c r="AH296" s="18">
        <f t="shared" si="408"/>
        <v>1.6552675427254682</v>
      </c>
      <c r="AI296" s="88" t="str">
        <f t="shared" si="409"/>
        <v>Chronic</v>
      </c>
      <c r="AJ296" s="9">
        <f t="shared" si="410"/>
        <v>1</v>
      </c>
      <c r="AK296" s="18">
        <f t="shared" si="411"/>
        <v>1.6552675427254682</v>
      </c>
      <c r="AL296" s="16"/>
      <c r="AM296" s="127" t="str">
        <f t="shared" si="412"/>
        <v>NOEC</v>
      </c>
      <c r="AN296" s="128" t="s">
        <v>356</v>
      </c>
      <c r="AO296" s="129" t="str">
        <f t="shared" si="413"/>
        <v>Chronic</v>
      </c>
      <c r="AP296" s="128" t="str">
        <f t="shared" si="418"/>
        <v>y</v>
      </c>
      <c r="AQ296" s="130" t="str">
        <f t="shared" si="414"/>
        <v>Mortality (of juvenile Deleatidium sp.)</v>
      </c>
      <c r="AR296" s="128" t="s">
        <v>459</v>
      </c>
      <c r="AS296" s="131">
        <f t="shared" si="415"/>
        <v>29</v>
      </c>
      <c r="AT296" s="128" t="s">
        <v>460</v>
      </c>
      <c r="AU296" s="128"/>
      <c r="AV296" s="143">
        <f t="shared" si="416"/>
        <v>1.6552675427254682</v>
      </c>
      <c r="AW296" s="144">
        <f t="shared" ref="AW296:AW297" si="419">GEOMEAN(AV296:AV296)</f>
        <v>1.6552675427254682</v>
      </c>
      <c r="AX296" s="141">
        <f>MIN(AW296)</f>
        <v>1.6552675427254682</v>
      </c>
      <c r="AY296" s="142">
        <f>MIN(AX296:AX296)</f>
        <v>1.6552675427254682</v>
      </c>
    </row>
    <row r="297" spans="1:52" x14ac:dyDescent="0.2">
      <c r="A297" s="32" t="s">
        <v>97</v>
      </c>
      <c r="B297" s="44">
        <v>221</v>
      </c>
      <c r="C297" s="34" t="s">
        <v>24</v>
      </c>
      <c r="D297" s="35" t="s">
        <v>98</v>
      </c>
      <c r="E297" s="33" t="s">
        <v>61</v>
      </c>
      <c r="F297" s="33" t="s">
        <v>99</v>
      </c>
      <c r="G297" s="33" t="s">
        <v>93</v>
      </c>
      <c r="H297" s="33" t="s">
        <v>571</v>
      </c>
      <c r="I297" s="36" t="s">
        <v>100</v>
      </c>
      <c r="J297" s="36" t="s">
        <v>64</v>
      </c>
      <c r="K297" s="44" t="s">
        <v>101</v>
      </c>
      <c r="L297" s="36" t="s">
        <v>54</v>
      </c>
      <c r="M297" s="36">
        <v>10</v>
      </c>
      <c r="N297" s="33" t="s">
        <v>102</v>
      </c>
      <c r="O297" s="33" t="s">
        <v>33</v>
      </c>
      <c r="P297" s="45" t="s">
        <v>103</v>
      </c>
      <c r="Q297" s="44">
        <v>25</v>
      </c>
      <c r="R297" s="44">
        <v>25</v>
      </c>
      <c r="S297" s="33" t="s">
        <v>104</v>
      </c>
      <c r="T297" s="33">
        <v>8.0399999999999991</v>
      </c>
      <c r="U297" s="46">
        <v>5.8536524151080886</v>
      </c>
      <c r="V297" s="33">
        <v>2.5</v>
      </c>
      <c r="W297" s="33" t="s">
        <v>37</v>
      </c>
      <c r="X297" s="39">
        <f t="shared" ref="X297" si="420">(V297)*(U297/100)*1000</f>
        <v>146.3413103777022</v>
      </c>
      <c r="Y297" s="33">
        <v>2.5</v>
      </c>
      <c r="Z297" s="40">
        <f t="shared" si="403"/>
        <v>6.4367096033276967</v>
      </c>
      <c r="AA297" s="40">
        <f t="shared" si="417"/>
        <v>4.662983901210608</v>
      </c>
      <c r="AC297" s="16">
        <f t="shared" si="404"/>
        <v>0.4446312674691093</v>
      </c>
      <c r="AD297" s="26">
        <f t="shared" si="405"/>
        <v>2.2490546058357781</v>
      </c>
      <c r="AE297" s="51">
        <v>30</v>
      </c>
      <c r="AF297" s="85" t="str">
        <f t="shared" si="406"/>
        <v>NOEC</v>
      </c>
      <c r="AG297" s="9">
        <f t="shared" si="407"/>
        <v>1</v>
      </c>
      <c r="AH297" s="18">
        <f t="shared" si="408"/>
        <v>4.662983901210608</v>
      </c>
      <c r="AI297" s="88" t="str">
        <f t="shared" si="409"/>
        <v>Chronic</v>
      </c>
      <c r="AJ297" s="9">
        <f t="shared" si="410"/>
        <v>1</v>
      </c>
      <c r="AK297" s="18">
        <f t="shared" si="411"/>
        <v>4.662983901210608</v>
      </c>
      <c r="AL297" s="16"/>
      <c r="AM297" s="101" t="str">
        <f t="shared" si="412"/>
        <v>NOEC</v>
      </c>
      <c r="AN297" s="102" t="s">
        <v>356</v>
      </c>
      <c r="AO297" s="103" t="str">
        <f t="shared" si="413"/>
        <v>Chronic</v>
      </c>
      <c r="AP297" s="102" t="str">
        <f t="shared" si="418"/>
        <v>y</v>
      </c>
      <c r="AQ297" s="104" t="str">
        <f t="shared" si="414"/>
        <v>Reproduction (average young per replicate)</v>
      </c>
      <c r="AR297" s="102" t="s">
        <v>459</v>
      </c>
      <c r="AS297" s="105">
        <f t="shared" si="415"/>
        <v>10</v>
      </c>
      <c r="AT297" s="102" t="s">
        <v>460</v>
      </c>
      <c r="AU297" s="102"/>
      <c r="AV297" s="147">
        <f t="shared" si="416"/>
        <v>4.662983901210608</v>
      </c>
      <c r="AW297" s="118">
        <f t="shared" si="419"/>
        <v>4.662983901210608</v>
      </c>
      <c r="AX297" s="73">
        <f>MIN(AW297:AW297)</f>
        <v>4.662983901210608</v>
      </c>
      <c r="AY297" s="126">
        <f>MIN(AX297:AX297)</f>
        <v>4.662983901210608</v>
      </c>
    </row>
    <row r="298" spans="1:52" x14ac:dyDescent="0.2">
      <c r="A298" s="19" t="s">
        <v>119</v>
      </c>
      <c r="B298" s="9">
        <v>235</v>
      </c>
      <c r="C298" s="10" t="s">
        <v>24</v>
      </c>
      <c r="D298" s="11" t="s">
        <v>120</v>
      </c>
      <c r="E298" s="9" t="s">
        <v>121</v>
      </c>
      <c r="F298" s="9" t="s">
        <v>122</v>
      </c>
      <c r="G298" s="9" t="s">
        <v>52</v>
      </c>
      <c r="H298" s="9" t="s">
        <v>571</v>
      </c>
      <c r="I298" s="12" t="s">
        <v>37</v>
      </c>
      <c r="J298" s="12" t="s">
        <v>123</v>
      </c>
      <c r="K298" s="12" t="s">
        <v>123</v>
      </c>
      <c r="L298" s="12" t="s">
        <v>54</v>
      </c>
      <c r="M298" s="12">
        <v>40</v>
      </c>
      <c r="N298" s="9" t="s">
        <v>55</v>
      </c>
      <c r="O298" s="13" t="s">
        <v>33</v>
      </c>
      <c r="P298" s="14" t="s">
        <v>56</v>
      </c>
      <c r="Q298" s="9" t="s">
        <v>438</v>
      </c>
      <c r="R298" s="9">
        <v>15.3</v>
      </c>
      <c r="S298" s="9" t="s">
        <v>124</v>
      </c>
      <c r="T298" s="9">
        <v>8.1</v>
      </c>
      <c r="U298" s="9">
        <v>3.3940000000000001</v>
      </c>
      <c r="V298" s="18">
        <v>2.1</v>
      </c>
      <c r="W298" s="9">
        <v>70</v>
      </c>
      <c r="X298" s="9">
        <v>70</v>
      </c>
      <c r="Y298" s="18">
        <v>2.1</v>
      </c>
      <c r="Z298" s="15">
        <f t="shared" si="403"/>
        <v>5.9178920071141139</v>
      </c>
      <c r="AA298" s="15">
        <f t="shared" si="417"/>
        <v>2.2938606726849975</v>
      </c>
      <c r="AC298" s="16">
        <f t="shared" si="404"/>
        <v>0.38725764492161724</v>
      </c>
      <c r="AD298" s="26">
        <f t="shared" si="405"/>
        <v>2.5822601906345959</v>
      </c>
      <c r="AE298" s="51">
        <v>30</v>
      </c>
      <c r="AF298" s="85" t="str">
        <f t="shared" si="406"/>
        <v>NOEC</v>
      </c>
      <c r="AG298" s="9">
        <f t="shared" si="407"/>
        <v>1</v>
      </c>
      <c r="AH298" s="18">
        <f t="shared" si="408"/>
        <v>2.2938606726849975</v>
      </c>
      <c r="AI298" s="88" t="str">
        <f t="shared" si="409"/>
        <v>Chronic</v>
      </c>
      <c r="AJ298" s="9">
        <f t="shared" si="410"/>
        <v>1</v>
      </c>
      <c r="AK298" s="18">
        <f t="shared" si="411"/>
        <v>2.2938606726849975</v>
      </c>
      <c r="AL298" s="16"/>
      <c r="AM298" s="127" t="str">
        <f t="shared" si="412"/>
        <v>NOEC</v>
      </c>
      <c r="AN298" s="128" t="s">
        <v>356</v>
      </c>
      <c r="AO298" s="129" t="str">
        <f t="shared" si="413"/>
        <v>Chronic</v>
      </c>
      <c r="AP298" s="128" t="str">
        <f t="shared" si="418"/>
        <v>y</v>
      </c>
      <c r="AQ298" s="130" t="str">
        <f t="shared" si="414"/>
        <v>Immobility</v>
      </c>
      <c r="AR298" s="128" t="s">
        <v>459</v>
      </c>
      <c r="AS298" s="131">
        <f t="shared" si="415"/>
        <v>40</v>
      </c>
      <c r="AT298" s="128" t="s">
        <v>460</v>
      </c>
      <c r="AU298" s="128"/>
      <c r="AV298" s="143">
        <f>AK298</f>
        <v>2.2938606726849975</v>
      </c>
      <c r="AW298" s="144">
        <f>GEOMEAN(AV298:AV298)</f>
        <v>2.2938606726849975</v>
      </c>
      <c r="AX298" s="148">
        <f>MIN(AW298)</f>
        <v>2.2938606726849975</v>
      </c>
      <c r="AY298" s="149">
        <f>MIN(AX298)</f>
        <v>2.2938606726849975</v>
      </c>
    </row>
    <row r="299" spans="1:52" x14ac:dyDescent="0.2">
      <c r="A299" s="32" t="s">
        <v>132</v>
      </c>
      <c r="B299" s="33">
        <v>254</v>
      </c>
      <c r="C299" s="34" t="s">
        <v>24</v>
      </c>
      <c r="D299" s="35" t="s">
        <v>126</v>
      </c>
      <c r="E299" s="33" t="s">
        <v>121</v>
      </c>
      <c r="F299" s="33" t="s">
        <v>127</v>
      </c>
      <c r="G299" s="33" t="s">
        <v>52</v>
      </c>
      <c r="H299" s="33" t="s">
        <v>571</v>
      </c>
      <c r="I299" s="36" t="s">
        <v>128</v>
      </c>
      <c r="J299" s="36" t="s">
        <v>53</v>
      </c>
      <c r="K299" s="36" t="s">
        <v>53</v>
      </c>
      <c r="L299" s="36" t="s">
        <v>133</v>
      </c>
      <c r="M299" s="36">
        <v>28</v>
      </c>
      <c r="N299" s="33" t="s">
        <v>55</v>
      </c>
      <c r="O299" s="37" t="s">
        <v>33</v>
      </c>
      <c r="P299" s="38" t="s">
        <v>129</v>
      </c>
      <c r="Q299" s="33" t="s">
        <v>130</v>
      </c>
      <c r="R299" s="33">
        <v>20</v>
      </c>
      <c r="S299" s="33" t="s">
        <v>131</v>
      </c>
      <c r="T299" s="33">
        <v>8.1999999999999993</v>
      </c>
      <c r="U299" s="33">
        <v>5.9020000000000001</v>
      </c>
      <c r="V299" s="33" t="s">
        <v>134</v>
      </c>
      <c r="W299" s="33" t="s">
        <v>37</v>
      </c>
      <c r="X299" s="33">
        <v>7.67</v>
      </c>
      <c r="Y299" s="33">
        <v>0.13</v>
      </c>
      <c r="Z299" s="40">
        <f t="shared" si="403"/>
        <v>0.4284575216169903</v>
      </c>
      <c r="AA299" s="40">
        <f t="shared" si="417"/>
        <v>0.22485770374472466</v>
      </c>
      <c r="AB299" t="s">
        <v>577</v>
      </c>
      <c r="AC299" s="16">
        <f t="shared" si="404"/>
        <v>0.30760968147407108</v>
      </c>
      <c r="AD299" s="26">
        <f t="shared" si="405"/>
        <v>3.2508729738543409</v>
      </c>
      <c r="AE299" s="51">
        <v>30</v>
      </c>
      <c r="AF299" s="85" t="str">
        <f t="shared" si="406"/>
        <v>IC10</v>
      </c>
      <c r="AG299" s="9">
        <f t="shared" si="407"/>
        <v>1</v>
      </c>
      <c r="AH299" s="18">
        <f t="shared" si="408"/>
        <v>0.22485770374472466</v>
      </c>
      <c r="AI299" s="88" t="str">
        <f t="shared" si="409"/>
        <v>Chronic</v>
      </c>
      <c r="AJ299" s="9">
        <f t="shared" si="410"/>
        <v>1</v>
      </c>
      <c r="AK299" s="18">
        <f t="shared" si="411"/>
        <v>0.22485770374472466</v>
      </c>
      <c r="AL299" s="16"/>
      <c r="AM299" s="132" t="str">
        <f t="shared" si="412"/>
        <v>IC10</v>
      </c>
      <c r="AN299" s="67" t="s">
        <v>356</v>
      </c>
      <c r="AO299" s="88" t="str">
        <f t="shared" si="413"/>
        <v>Chronic</v>
      </c>
      <c r="AP299" s="67" t="str">
        <f t="shared" si="418"/>
        <v>y</v>
      </c>
      <c r="AQ299" s="69" t="str">
        <f t="shared" si="414"/>
        <v>Mortality</v>
      </c>
      <c r="AR299" s="67" t="s">
        <v>459</v>
      </c>
      <c r="AS299" s="70">
        <f t="shared" si="415"/>
        <v>28</v>
      </c>
      <c r="AT299" s="67" t="s">
        <v>460</v>
      </c>
      <c r="AU299" s="67"/>
      <c r="AV299" s="151">
        <f>AK299</f>
        <v>0.22485770374472466</v>
      </c>
      <c r="AW299" s="95">
        <f>GEOMEAN(AV299:AV299)</f>
        <v>0.22485770374472466</v>
      </c>
      <c r="AX299" s="96">
        <f>MIN(AW299)</f>
        <v>0.22485770374472466</v>
      </c>
      <c r="AY299" s="153">
        <f>MIN(AX299)</f>
        <v>0.22485770374472466</v>
      </c>
    </row>
    <row r="300" spans="1:52" x14ac:dyDescent="0.2">
      <c r="A300" s="19" t="s">
        <v>144</v>
      </c>
      <c r="B300" s="9">
        <v>253</v>
      </c>
      <c r="C300" s="10" t="s">
        <v>24</v>
      </c>
      <c r="D300" s="11" t="s">
        <v>139</v>
      </c>
      <c r="E300" s="9" t="s">
        <v>121</v>
      </c>
      <c r="F300" s="9" t="s">
        <v>127</v>
      </c>
      <c r="G300" s="9" t="s">
        <v>52</v>
      </c>
      <c r="H300" s="9" t="s">
        <v>571</v>
      </c>
      <c r="I300" s="12" t="s">
        <v>140</v>
      </c>
      <c r="J300" s="12" t="s">
        <v>53</v>
      </c>
      <c r="K300" s="12" t="s">
        <v>53</v>
      </c>
      <c r="L300" s="12" t="s">
        <v>31</v>
      </c>
      <c r="M300" s="12">
        <v>28</v>
      </c>
      <c r="N300" s="9" t="s">
        <v>55</v>
      </c>
      <c r="O300" s="13" t="s">
        <v>33</v>
      </c>
      <c r="P300" s="14" t="s">
        <v>141</v>
      </c>
      <c r="Q300" s="9">
        <v>20</v>
      </c>
      <c r="R300" s="9">
        <v>20</v>
      </c>
      <c r="S300" s="9" t="s">
        <v>142</v>
      </c>
      <c r="T300" s="9">
        <v>8.26</v>
      </c>
      <c r="U300" s="9">
        <v>6.718</v>
      </c>
      <c r="V300" s="9">
        <v>0.54</v>
      </c>
      <c r="W300" s="9" t="s">
        <v>37</v>
      </c>
      <c r="X300" s="9">
        <v>36.299999999999997</v>
      </c>
      <c r="Y300" s="9">
        <v>0.54</v>
      </c>
      <c r="Z300" s="15">
        <f t="shared" si="403"/>
        <v>1.9610361754850452</v>
      </c>
      <c r="AA300" s="15">
        <f t="shared" si="417"/>
        <v>1.0291664147142339</v>
      </c>
      <c r="AC300" s="16">
        <f t="shared" si="404"/>
        <v>0.26791683248190312</v>
      </c>
      <c r="AD300" s="26">
        <f t="shared" si="405"/>
        <v>3.7325015779572066</v>
      </c>
      <c r="AE300" s="51">
        <v>30</v>
      </c>
      <c r="AF300" s="85" t="str">
        <f t="shared" si="406"/>
        <v>EC10</v>
      </c>
      <c r="AG300" s="9">
        <f t="shared" si="407"/>
        <v>1</v>
      </c>
      <c r="AH300" s="18">
        <f t="shared" si="408"/>
        <v>1.0291664147142339</v>
      </c>
      <c r="AI300" s="88" t="str">
        <f t="shared" si="409"/>
        <v>Chronic</v>
      </c>
      <c r="AJ300" s="9">
        <f t="shared" si="410"/>
        <v>1</v>
      </c>
      <c r="AK300" s="18">
        <f t="shared" si="411"/>
        <v>1.0291664147142339</v>
      </c>
      <c r="AM300" s="101" t="str">
        <f t="shared" si="412"/>
        <v>EC10</v>
      </c>
      <c r="AN300" s="102" t="s">
        <v>356</v>
      </c>
      <c r="AO300" s="103" t="str">
        <f t="shared" si="413"/>
        <v>Chronic</v>
      </c>
      <c r="AP300" s="102" t="str">
        <f t="shared" si="418"/>
        <v>y</v>
      </c>
      <c r="AQ300" s="104" t="str">
        <f t="shared" si="414"/>
        <v>Mortality</v>
      </c>
      <c r="AR300" s="196" t="s">
        <v>459</v>
      </c>
      <c r="AS300" s="105">
        <f t="shared" si="415"/>
        <v>28</v>
      </c>
      <c r="AT300" s="158" t="s">
        <v>460</v>
      </c>
      <c r="AU300" s="197"/>
      <c r="AV300" s="154">
        <f t="shared" ref="AV300:AV303" si="421">AK300</f>
        <v>1.0291664147142339</v>
      </c>
      <c r="AW300" s="155"/>
      <c r="AX300" s="197"/>
      <c r="AY300" s="198"/>
    </row>
    <row r="301" spans="1:52" x14ac:dyDescent="0.2">
      <c r="A301" s="19" t="s">
        <v>146</v>
      </c>
      <c r="B301" s="9">
        <v>254</v>
      </c>
      <c r="C301" s="10" t="s">
        <v>24</v>
      </c>
      <c r="D301" s="11" t="s">
        <v>139</v>
      </c>
      <c r="E301" s="9" t="s">
        <v>121</v>
      </c>
      <c r="F301" s="9" t="s">
        <v>127</v>
      </c>
      <c r="G301" s="9" t="s">
        <v>52</v>
      </c>
      <c r="H301" s="9" t="s">
        <v>571</v>
      </c>
      <c r="I301" s="12" t="s">
        <v>140</v>
      </c>
      <c r="J301" s="12" t="s">
        <v>53</v>
      </c>
      <c r="K301" s="12" t="s">
        <v>53</v>
      </c>
      <c r="L301" s="12" t="s">
        <v>133</v>
      </c>
      <c r="M301" s="12">
        <v>28</v>
      </c>
      <c r="N301" s="9" t="s">
        <v>55</v>
      </c>
      <c r="O301" s="13" t="s">
        <v>33</v>
      </c>
      <c r="P301" s="14" t="s">
        <v>129</v>
      </c>
      <c r="Q301" s="9" t="s">
        <v>130</v>
      </c>
      <c r="R301" s="9">
        <v>20</v>
      </c>
      <c r="S301" s="9" t="s">
        <v>131</v>
      </c>
      <c r="T301" s="9">
        <v>8.1999999999999993</v>
      </c>
      <c r="U301" s="9">
        <v>5.9020000000000001</v>
      </c>
      <c r="V301" s="9" t="s">
        <v>134</v>
      </c>
      <c r="W301" s="9" t="s">
        <v>37</v>
      </c>
      <c r="X301" s="9">
        <v>7.67</v>
      </c>
      <c r="Y301" s="9">
        <v>0.13</v>
      </c>
      <c r="Z301" s="15">
        <f t="shared" si="403"/>
        <v>0.4284575216169903</v>
      </c>
      <c r="AA301" s="15">
        <f t="shared" si="417"/>
        <v>0.22485770374472466</v>
      </c>
      <c r="AB301" t="s">
        <v>577</v>
      </c>
      <c r="AC301" s="16">
        <f t="shared" si="404"/>
        <v>0.30760968147407108</v>
      </c>
      <c r="AD301" s="26">
        <f t="shared" si="405"/>
        <v>3.2508729738543409</v>
      </c>
      <c r="AE301" s="51">
        <v>30</v>
      </c>
      <c r="AF301" s="85" t="str">
        <f t="shared" si="406"/>
        <v>IC10</v>
      </c>
      <c r="AG301" s="9">
        <f t="shared" si="407"/>
        <v>1</v>
      </c>
      <c r="AH301" s="18">
        <f t="shared" si="408"/>
        <v>0.22485770374472466</v>
      </c>
      <c r="AI301" s="88" t="str">
        <f t="shared" si="409"/>
        <v>Chronic</v>
      </c>
      <c r="AJ301" s="9">
        <f t="shared" si="410"/>
        <v>1</v>
      </c>
      <c r="AK301" s="18">
        <f t="shared" si="411"/>
        <v>0.22485770374472466</v>
      </c>
      <c r="AL301" s="16"/>
      <c r="AM301" s="110" t="str">
        <f t="shared" si="412"/>
        <v>IC10</v>
      </c>
      <c r="AN301" s="111" t="s">
        <v>356</v>
      </c>
      <c r="AO301" s="112" t="str">
        <f t="shared" si="413"/>
        <v>Chronic</v>
      </c>
      <c r="AP301" s="111" t="str">
        <f t="shared" si="418"/>
        <v>y</v>
      </c>
      <c r="AQ301" s="134" t="str">
        <f t="shared" si="414"/>
        <v>Mortality</v>
      </c>
      <c r="AR301" s="199" t="s">
        <v>459</v>
      </c>
      <c r="AS301" s="114">
        <f t="shared" si="415"/>
        <v>28</v>
      </c>
      <c r="AT301" s="199" t="s">
        <v>460</v>
      </c>
      <c r="AU301" s="200"/>
      <c r="AV301" s="152">
        <f t="shared" si="421"/>
        <v>0.22485770374472466</v>
      </c>
      <c r="AW301" s="116">
        <f>GEOMEAN(AV300:AV301)</f>
        <v>0.48105716581694702</v>
      </c>
      <c r="AX301" s="117">
        <f>MIN(AW301)</f>
        <v>0.48105716581694702</v>
      </c>
      <c r="AY301" s="125">
        <f>MIN(AX301:AX301)</f>
        <v>0.48105716581694702</v>
      </c>
    </row>
    <row r="302" spans="1:52" x14ac:dyDescent="0.2">
      <c r="A302" s="32" t="s">
        <v>148</v>
      </c>
      <c r="B302" s="33">
        <v>256</v>
      </c>
      <c r="C302" s="38" t="s">
        <v>24</v>
      </c>
      <c r="D302" s="35" t="s">
        <v>149</v>
      </c>
      <c r="E302" s="33" t="s">
        <v>121</v>
      </c>
      <c r="F302" s="33" t="s">
        <v>127</v>
      </c>
      <c r="G302" s="33" t="s">
        <v>52</v>
      </c>
      <c r="H302" s="33" t="s">
        <v>571</v>
      </c>
      <c r="I302" s="33" t="s">
        <v>37</v>
      </c>
      <c r="J302" s="36" t="s">
        <v>53</v>
      </c>
      <c r="K302" s="36" t="s">
        <v>53</v>
      </c>
      <c r="L302" s="36" t="s">
        <v>54</v>
      </c>
      <c r="M302" s="36">
        <v>6</v>
      </c>
      <c r="N302" s="33" t="s">
        <v>102</v>
      </c>
      <c r="O302" s="37" t="s">
        <v>33</v>
      </c>
      <c r="P302" s="38" t="s">
        <v>150</v>
      </c>
      <c r="Q302" s="33" t="s">
        <v>151</v>
      </c>
      <c r="R302" s="33">
        <v>21.8</v>
      </c>
      <c r="S302" s="33" t="s">
        <v>152</v>
      </c>
      <c r="T302" s="33">
        <v>7.8</v>
      </c>
      <c r="U302" s="33">
        <v>2.7679999999999998</v>
      </c>
      <c r="V302" s="33" t="s">
        <v>37</v>
      </c>
      <c r="W302" s="33">
        <v>30</v>
      </c>
      <c r="X302" s="33">
        <v>30</v>
      </c>
      <c r="Y302" s="40">
        <f t="shared" ref="Y302" si="422">X302/((U302/100)*1000)</f>
        <v>1.0838150289017343</v>
      </c>
      <c r="Z302" s="40">
        <f t="shared" si="403"/>
        <v>2.0127302212112239</v>
      </c>
      <c r="AA302" s="40">
        <f t="shared" si="417"/>
        <v>1.1862755178255784</v>
      </c>
      <c r="AB302" s="16"/>
      <c r="AC302" s="16">
        <f t="shared" si="404"/>
        <v>0.77268058509570214</v>
      </c>
      <c r="AD302" s="26">
        <f t="shared" si="405"/>
        <v>1.2941958414499863</v>
      </c>
      <c r="AE302" s="51">
        <v>30</v>
      </c>
      <c r="AF302" s="85" t="str">
        <f t="shared" si="406"/>
        <v>NOEC</v>
      </c>
      <c r="AG302" s="9">
        <f t="shared" si="407"/>
        <v>1</v>
      </c>
      <c r="AH302" s="18">
        <f t="shared" si="408"/>
        <v>1.1862755178255784</v>
      </c>
      <c r="AI302" s="88" t="str">
        <f t="shared" si="409"/>
        <v>Chronic</v>
      </c>
      <c r="AJ302" s="9">
        <f t="shared" si="410"/>
        <v>1</v>
      </c>
      <c r="AK302" s="18">
        <f t="shared" si="411"/>
        <v>1.1862755178255784</v>
      </c>
      <c r="AL302" s="16"/>
      <c r="AM302" s="101" t="str">
        <f t="shared" si="412"/>
        <v>NOEC</v>
      </c>
      <c r="AN302" s="102" t="s">
        <v>356</v>
      </c>
      <c r="AO302" s="103" t="str">
        <f t="shared" si="413"/>
        <v>Chronic</v>
      </c>
      <c r="AP302" s="102" t="str">
        <f t="shared" si="418"/>
        <v>y</v>
      </c>
      <c r="AQ302" s="104" t="str">
        <f t="shared" si="414"/>
        <v>Mortality</v>
      </c>
      <c r="AR302" s="102" t="s">
        <v>459</v>
      </c>
      <c r="AS302" s="105">
        <f t="shared" si="415"/>
        <v>6</v>
      </c>
      <c r="AT302" s="102" t="s">
        <v>460</v>
      </c>
      <c r="AU302" s="102"/>
      <c r="AV302" s="154">
        <f t="shared" si="421"/>
        <v>1.1862755178255784</v>
      </c>
      <c r="AW302" s="118">
        <f>GEOMEAN(AV302)</f>
        <v>1.1862755178255784</v>
      </c>
      <c r="AX302" s="119">
        <f>MIN(AW302:AW302)</f>
        <v>1.1862755178255784</v>
      </c>
      <c r="AY302" s="126">
        <f>MIN(AX302)</f>
        <v>1.1862755178255784</v>
      </c>
    </row>
    <row r="303" spans="1:52" x14ac:dyDescent="0.2">
      <c r="A303" s="8" t="s">
        <v>168</v>
      </c>
      <c r="B303" s="9">
        <v>242</v>
      </c>
      <c r="C303" s="10" t="s">
        <v>24</v>
      </c>
      <c r="D303" s="11" t="s">
        <v>155</v>
      </c>
      <c r="E303" s="9" t="s">
        <v>121</v>
      </c>
      <c r="F303" s="9" t="s">
        <v>127</v>
      </c>
      <c r="G303" s="9" t="s">
        <v>52</v>
      </c>
      <c r="H303" s="9" t="s">
        <v>571</v>
      </c>
      <c r="I303" s="12" t="s">
        <v>156</v>
      </c>
      <c r="J303" s="12" t="s">
        <v>136</v>
      </c>
      <c r="K303" s="12" t="s">
        <v>169</v>
      </c>
      <c r="L303" s="12" t="s">
        <v>54</v>
      </c>
      <c r="M303" s="12">
        <v>60</v>
      </c>
      <c r="N303" s="9" t="s">
        <v>55</v>
      </c>
      <c r="O303" s="13" t="s">
        <v>33</v>
      </c>
      <c r="P303" s="14" t="s">
        <v>157</v>
      </c>
      <c r="Q303" s="9">
        <v>20</v>
      </c>
      <c r="R303" s="9">
        <v>20</v>
      </c>
      <c r="S303" s="28" t="s">
        <v>158</v>
      </c>
      <c r="T303" s="28">
        <v>7.73</v>
      </c>
      <c r="U303" s="26" t="s">
        <v>170</v>
      </c>
      <c r="V303" s="9">
        <v>0.65</v>
      </c>
      <c r="W303" s="9">
        <v>12</v>
      </c>
      <c r="X303" s="9">
        <v>12</v>
      </c>
      <c r="Y303" s="9">
        <v>0.65</v>
      </c>
      <c r="Z303" s="15">
        <f t="shared" si="403"/>
        <v>1.1105489745328638</v>
      </c>
      <c r="AA303" s="15">
        <f t="shared" si="417"/>
        <v>0.58282438680758164</v>
      </c>
      <c r="AC303" s="16">
        <f t="shared" si="404"/>
        <v>0.90782053017818432</v>
      </c>
      <c r="AD303" s="26">
        <f t="shared" si="405"/>
        <v>1.1015393095414168</v>
      </c>
      <c r="AE303" s="51">
        <v>30</v>
      </c>
      <c r="AF303" s="85" t="str">
        <f t="shared" si="406"/>
        <v>NOEC</v>
      </c>
      <c r="AG303" s="9">
        <f t="shared" si="407"/>
        <v>1</v>
      </c>
      <c r="AH303" s="18">
        <f t="shared" si="408"/>
        <v>0.58282438680758164</v>
      </c>
      <c r="AI303" s="88" t="str">
        <f t="shared" si="409"/>
        <v>Chronic</v>
      </c>
      <c r="AJ303" s="9">
        <f t="shared" si="410"/>
        <v>1</v>
      </c>
      <c r="AK303" s="18">
        <f t="shared" si="411"/>
        <v>0.58282438680758164</v>
      </c>
      <c r="AL303" s="16"/>
      <c r="AM303" s="110" t="str">
        <f t="shared" si="412"/>
        <v>NOEC</v>
      </c>
      <c r="AN303" s="111" t="s">
        <v>356</v>
      </c>
      <c r="AO303" s="112" t="str">
        <f t="shared" si="413"/>
        <v>Chronic</v>
      </c>
      <c r="AP303" s="111" t="str">
        <f t="shared" si="418"/>
        <v>y</v>
      </c>
      <c r="AQ303" s="134" t="str">
        <f t="shared" si="414"/>
        <v>Length</v>
      </c>
      <c r="AR303" s="111" t="s">
        <v>475</v>
      </c>
      <c r="AS303" s="114">
        <f t="shared" si="415"/>
        <v>60</v>
      </c>
      <c r="AT303" s="111" t="s">
        <v>476</v>
      </c>
      <c r="AU303" s="111"/>
      <c r="AV303" s="152">
        <f t="shared" si="421"/>
        <v>0.58282438680758164</v>
      </c>
      <c r="AW303" s="116">
        <f>GEOMEAN(AV303)</f>
        <v>0.58282438680758164</v>
      </c>
      <c r="AX303" s="117">
        <f>MIN(AW303)</f>
        <v>0.58282438680758164</v>
      </c>
      <c r="AY303" s="125">
        <f>MIN(AX303:AX303)</f>
        <v>0.58282438680758164</v>
      </c>
    </row>
    <row r="304" spans="1:52" x14ac:dyDescent="0.2">
      <c r="A304" s="32" t="s">
        <v>176</v>
      </c>
      <c r="B304" s="33">
        <v>254</v>
      </c>
      <c r="C304" s="34" t="s">
        <v>24</v>
      </c>
      <c r="D304" s="35" t="s">
        <v>172</v>
      </c>
      <c r="E304" s="33" t="s">
        <v>121</v>
      </c>
      <c r="F304" s="33" t="s">
        <v>127</v>
      </c>
      <c r="G304" s="33" t="s">
        <v>52</v>
      </c>
      <c r="H304" s="33" t="s">
        <v>571</v>
      </c>
      <c r="I304" s="36" t="s">
        <v>128</v>
      </c>
      <c r="J304" s="36" t="s">
        <v>177</v>
      </c>
      <c r="K304" s="36" t="s">
        <v>137</v>
      </c>
      <c r="L304" s="36" t="s">
        <v>133</v>
      </c>
      <c r="M304" s="36">
        <v>28</v>
      </c>
      <c r="N304" s="33" t="s">
        <v>55</v>
      </c>
      <c r="O304" s="37" t="s">
        <v>33</v>
      </c>
      <c r="P304" s="38" t="s">
        <v>129</v>
      </c>
      <c r="Q304" s="33" t="s">
        <v>130</v>
      </c>
      <c r="R304" s="33">
        <v>20</v>
      </c>
      <c r="S304" s="33" t="s">
        <v>131</v>
      </c>
      <c r="T304" s="33">
        <v>8.1999999999999993</v>
      </c>
      <c r="U304" s="33">
        <v>5.9020000000000001</v>
      </c>
      <c r="V304" s="33" t="s">
        <v>175</v>
      </c>
      <c r="W304" s="33" t="s">
        <v>37</v>
      </c>
      <c r="X304" s="33">
        <v>23.6</v>
      </c>
      <c r="Y304" s="33">
        <v>0.4</v>
      </c>
      <c r="Z304" s="40">
        <f t="shared" si="403"/>
        <v>1.3183308357445855</v>
      </c>
      <c r="AA304" s="40">
        <f t="shared" si="417"/>
        <v>0.69186985767607589</v>
      </c>
      <c r="AB304" t="s">
        <v>577</v>
      </c>
      <c r="AC304" s="16">
        <f t="shared" si="404"/>
        <v>0.30760968147407108</v>
      </c>
      <c r="AD304" s="26">
        <f t="shared" si="405"/>
        <v>3.2508729738543409</v>
      </c>
      <c r="AE304" s="51">
        <v>30</v>
      </c>
      <c r="AF304" s="85" t="str">
        <f t="shared" si="406"/>
        <v>IC10</v>
      </c>
      <c r="AG304" s="9">
        <f t="shared" si="407"/>
        <v>1</v>
      </c>
      <c r="AH304" s="18">
        <f t="shared" si="408"/>
        <v>0.69186985767607589</v>
      </c>
      <c r="AI304" s="88" t="str">
        <f t="shared" si="409"/>
        <v>Chronic</v>
      </c>
      <c r="AJ304" s="9">
        <f t="shared" si="410"/>
        <v>1</v>
      </c>
      <c r="AK304" s="18">
        <f t="shared" si="411"/>
        <v>0.69186985767607589</v>
      </c>
      <c r="AL304" s="16"/>
      <c r="AM304" s="110" t="str">
        <f t="shared" si="412"/>
        <v>IC10</v>
      </c>
      <c r="AN304" s="111" t="s">
        <v>356</v>
      </c>
      <c r="AO304" s="112" t="str">
        <f t="shared" si="413"/>
        <v>Chronic</v>
      </c>
      <c r="AP304" s="111" t="str">
        <f t="shared" si="418"/>
        <v>y</v>
      </c>
      <c r="AQ304" s="134" t="str">
        <f t="shared" si="414"/>
        <v>Shell length</v>
      </c>
      <c r="AR304" s="111" t="s">
        <v>473</v>
      </c>
      <c r="AS304" s="114">
        <f t="shared" si="415"/>
        <v>28</v>
      </c>
      <c r="AT304" s="111" t="s">
        <v>474</v>
      </c>
      <c r="AU304" s="111"/>
      <c r="AV304" s="152">
        <f>AK304</f>
        <v>0.69186985767607589</v>
      </c>
      <c r="AW304" s="116">
        <f>GEOMEAN(AV304)</f>
        <v>0.69186985767607589</v>
      </c>
      <c r="AX304" s="117">
        <f>MIN(AW304)</f>
        <v>0.69186985767607589</v>
      </c>
      <c r="AY304" s="125">
        <f>MIN(AX304:AX304)</f>
        <v>0.69186985767607589</v>
      </c>
    </row>
  </sheetData>
  <autoFilter ref="A4:Y19" xr:uid="{68E7697B-F579-4F71-A993-44D7869094F3}"/>
  <mergeCells count="9">
    <mergeCell ref="BC4:BF4"/>
    <mergeCell ref="AV5:AX5"/>
    <mergeCell ref="AF2:AK3"/>
    <mergeCell ref="AM2:AT2"/>
    <mergeCell ref="AV2:AY3"/>
    <mergeCell ref="AM3:AN3"/>
    <mergeCell ref="AO3:AP3"/>
    <mergeCell ref="AQ3:AR3"/>
    <mergeCell ref="AS3:AT3"/>
  </mergeCells>
  <conditionalFormatting sqref="AN6:AN49">
    <cfRule type="containsText" dxfId="35" priority="120" operator="containsText" text="n">
      <formula>NOT(ISERROR(SEARCH("n",AN6)))</formula>
    </cfRule>
  </conditionalFormatting>
  <conditionalFormatting sqref="AN51:AN64">
    <cfRule type="containsText" dxfId="34" priority="113" operator="containsText" text="n">
      <formula>NOT(ISERROR(SEARCH("n",AN51)))</formula>
    </cfRule>
  </conditionalFormatting>
  <conditionalFormatting sqref="AN66:AN79">
    <cfRule type="containsText" dxfId="33" priority="106" operator="containsText" text="n">
      <formula>NOT(ISERROR(SEARCH("n",AN66)))</formula>
    </cfRule>
  </conditionalFormatting>
  <conditionalFormatting sqref="AN81:AN94">
    <cfRule type="containsText" dxfId="32" priority="99" operator="containsText" text="n">
      <formula>NOT(ISERROR(SEARCH("n",AN81)))</formula>
    </cfRule>
  </conditionalFormatting>
  <conditionalFormatting sqref="AN96:AN109">
    <cfRule type="containsText" dxfId="31" priority="92" operator="containsText" text="n">
      <formula>NOT(ISERROR(SEARCH("n",AN96)))</formula>
    </cfRule>
  </conditionalFormatting>
  <conditionalFormatting sqref="AN111:AN124">
    <cfRule type="containsText" dxfId="30" priority="85" operator="containsText" text="n">
      <formula>NOT(ISERROR(SEARCH("n",AN111)))</formula>
    </cfRule>
  </conditionalFormatting>
  <conditionalFormatting sqref="AN126:AN139">
    <cfRule type="containsText" dxfId="29" priority="78" operator="containsText" text="n">
      <formula>NOT(ISERROR(SEARCH("n",AN126)))</formula>
    </cfRule>
  </conditionalFormatting>
  <conditionalFormatting sqref="AN141:AN154">
    <cfRule type="containsText" dxfId="28" priority="71" operator="containsText" text="n">
      <formula>NOT(ISERROR(SEARCH("n",AN141)))</formula>
    </cfRule>
  </conditionalFormatting>
  <conditionalFormatting sqref="AN156:AN169">
    <cfRule type="containsText" dxfId="27" priority="64" operator="containsText" text="n">
      <formula>NOT(ISERROR(SEARCH("n",AN156)))</formula>
    </cfRule>
  </conditionalFormatting>
  <conditionalFormatting sqref="AN171:AN184">
    <cfRule type="containsText" dxfId="26" priority="57" operator="containsText" text="n">
      <formula>NOT(ISERROR(SEARCH("n",AN171)))</formula>
    </cfRule>
  </conditionalFormatting>
  <conditionalFormatting sqref="AN186:AN199">
    <cfRule type="containsText" dxfId="25" priority="50" operator="containsText" text="n">
      <formula>NOT(ISERROR(SEARCH("n",AN186)))</formula>
    </cfRule>
  </conditionalFormatting>
  <conditionalFormatting sqref="AN201:AN214">
    <cfRule type="containsText" dxfId="24" priority="43" operator="containsText" text="n">
      <formula>NOT(ISERROR(SEARCH("n",AN201)))</formula>
    </cfRule>
  </conditionalFormatting>
  <conditionalFormatting sqref="AN216:AN229">
    <cfRule type="containsText" dxfId="23" priority="36" operator="containsText" text="n">
      <formula>NOT(ISERROR(SEARCH("n",AN216)))</formula>
    </cfRule>
  </conditionalFormatting>
  <conditionalFormatting sqref="AN231:AN244">
    <cfRule type="containsText" dxfId="22" priority="29" operator="containsText" text="n">
      <formula>NOT(ISERROR(SEARCH("n",AN231)))</formula>
    </cfRule>
  </conditionalFormatting>
  <conditionalFormatting sqref="AN246:AN259">
    <cfRule type="containsText" dxfId="21" priority="22" operator="containsText" text="n">
      <formula>NOT(ISERROR(SEARCH("n",AN246)))</formula>
    </cfRule>
  </conditionalFormatting>
  <conditionalFormatting sqref="AN261:AN274">
    <cfRule type="containsText" dxfId="20" priority="15" operator="containsText" text="n">
      <formula>NOT(ISERROR(SEARCH("n",AN261)))</formula>
    </cfRule>
  </conditionalFormatting>
  <conditionalFormatting sqref="AN276:AN289">
    <cfRule type="containsText" dxfId="19" priority="8" operator="containsText" text="n">
      <formula>NOT(ISERROR(SEARCH("n",AN276)))</formula>
    </cfRule>
  </conditionalFormatting>
  <conditionalFormatting sqref="AN291:AN304">
    <cfRule type="containsText" dxfId="18" priority="1" operator="containsText" text="n">
      <formula>NOT(ISERROR(SEARCH("n",AN291)))</formula>
    </cfRule>
  </conditionalFormatting>
  <conditionalFormatting sqref="AP6:AP49">
    <cfRule type="containsText" dxfId="17" priority="121" operator="containsText" text="n">
      <formula>NOT(ISERROR(SEARCH("n",AP6)))</formula>
    </cfRule>
  </conditionalFormatting>
  <conditionalFormatting sqref="AP51:AP64">
    <cfRule type="containsText" dxfId="16" priority="114" operator="containsText" text="n">
      <formula>NOT(ISERROR(SEARCH("n",AP51)))</formula>
    </cfRule>
  </conditionalFormatting>
  <conditionalFormatting sqref="AP66:AP79">
    <cfRule type="containsText" dxfId="15" priority="107" operator="containsText" text="n">
      <formula>NOT(ISERROR(SEARCH("n",AP66)))</formula>
    </cfRule>
  </conditionalFormatting>
  <conditionalFormatting sqref="AP81:AP94">
    <cfRule type="containsText" dxfId="14" priority="100" operator="containsText" text="n">
      <formula>NOT(ISERROR(SEARCH("n",AP81)))</formula>
    </cfRule>
  </conditionalFormatting>
  <conditionalFormatting sqref="AP96:AP109">
    <cfRule type="containsText" dxfId="13" priority="93" operator="containsText" text="n">
      <formula>NOT(ISERROR(SEARCH("n",AP96)))</formula>
    </cfRule>
  </conditionalFormatting>
  <conditionalFormatting sqref="AP111:AP124">
    <cfRule type="containsText" dxfId="12" priority="86" operator="containsText" text="n">
      <formula>NOT(ISERROR(SEARCH("n",AP111)))</formula>
    </cfRule>
  </conditionalFormatting>
  <conditionalFormatting sqref="AP126:AP139">
    <cfRule type="containsText" dxfId="11" priority="79" operator="containsText" text="n">
      <formula>NOT(ISERROR(SEARCH("n",AP126)))</formula>
    </cfRule>
  </conditionalFormatting>
  <conditionalFormatting sqref="AP141:AP154">
    <cfRule type="containsText" dxfId="10" priority="72" operator="containsText" text="n">
      <formula>NOT(ISERROR(SEARCH("n",AP141)))</formula>
    </cfRule>
  </conditionalFormatting>
  <conditionalFormatting sqref="AP156:AP169">
    <cfRule type="containsText" dxfId="9" priority="65" operator="containsText" text="n">
      <formula>NOT(ISERROR(SEARCH("n",AP156)))</formula>
    </cfRule>
  </conditionalFormatting>
  <conditionalFormatting sqref="AP171:AP184">
    <cfRule type="containsText" dxfId="8" priority="58" operator="containsText" text="n">
      <formula>NOT(ISERROR(SEARCH("n",AP171)))</formula>
    </cfRule>
  </conditionalFormatting>
  <conditionalFormatting sqref="AP186:AP199">
    <cfRule type="containsText" dxfId="7" priority="51" operator="containsText" text="n">
      <formula>NOT(ISERROR(SEARCH("n",AP186)))</formula>
    </cfRule>
  </conditionalFormatting>
  <conditionalFormatting sqref="AP201:AP214">
    <cfRule type="containsText" dxfId="6" priority="44" operator="containsText" text="n">
      <formula>NOT(ISERROR(SEARCH("n",AP201)))</formula>
    </cfRule>
  </conditionalFormatting>
  <conditionalFormatting sqref="AP216:AP229">
    <cfRule type="containsText" dxfId="5" priority="37" operator="containsText" text="n">
      <formula>NOT(ISERROR(SEARCH("n",AP216)))</formula>
    </cfRule>
  </conditionalFormatting>
  <conditionalFormatting sqref="AP231:AP244">
    <cfRule type="containsText" dxfId="4" priority="30" operator="containsText" text="n">
      <formula>NOT(ISERROR(SEARCH("n",AP231)))</formula>
    </cfRule>
  </conditionalFormatting>
  <conditionalFormatting sqref="AP246:AP259">
    <cfRule type="containsText" dxfId="3" priority="23" operator="containsText" text="n">
      <formula>NOT(ISERROR(SEARCH("n",AP246)))</formula>
    </cfRule>
  </conditionalFormatting>
  <conditionalFormatting sqref="AP261:AP274">
    <cfRule type="containsText" dxfId="2" priority="16" operator="containsText" text="n">
      <formula>NOT(ISERROR(SEARCH("n",AP261)))</formula>
    </cfRule>
  </conditionalFormatting>
  <conditionalFormatting sqref="AP276:AP289">
    <cfRule type="containsText" dxfId="1" priority="9" operator="containsText" text="n">
      <formula>NOT(ISERROR(SEARCH("n",AP276)))</formula>
    </cfRule>
  </conditionalFormatting>
  <conditionalFormatting sqref="AP291:AP304">
    <cfRule type="containsText" dxfId="0" priority="2" operator="containsText" text="n">
      <formula>NOT(ISERROR(SEARCH("n",AP291)))</formula>
    </cfRule>
  </conditionalFormatting>
  <hyperlinks>
    <hyperlink ref="A6" location="'FW nonmetal nonplant_WS'!D7" display="'FW nonmetal nonplant_WS'!D7" xr:uid="{9083224D-A97E-4FA9-9D43-23246FD4DA09}"/>
    <hyperlink ref="A7" location="'FW nonmetal nonplant_WS'!D223" display="'FW nonmetal nonplant_WS'!D223" xr:uid="{109EB852-01E7-4F9F-BC53-351ACD3720F4}"/>
    <hyperlink ref="A8" location="'FW nonmetal nonplant_WS'!D97" display="240-3" xr:uid="{3F9C021A-E87A-4CE3-81DC-203625DBEAF6}"/>
    <hyperlink ref="A9" location="'FW nonmetal nonplant_WS'!D103" display="240-5" xr:uid="{A7DECABF-272D-46C0-A8D8-43BDF922F914}"/>
    <hyperlink ref="A10" location="'FW nonmetal nonplant_WS'!D106" display="240-6" xr:uid="{4C01D229-3830-4D99-A865-7CF2949A6C27}"/>
    <hyperlink ref="A12" location="'FW nonmetal nonplant_WS'!D28" display="'FW nonmetal nonplant_WS'!D28" xr:uid="{FD42C4DC-621D-4947-ACA9-050280425370}"/>
    <hyperlink ref="A13" location="'FW nonmetal nonplant_WS'!D4" display="'FW nonmetal nonplant_WS'!D4" xr:uid="{7CFF7FED-B58A-499E-8548-3B2885C93834}"/>
    <hyperlink ref="A18" location="'FW nonmetal nonplant_WS'!D121" display="'FW nonmetal nonplant_WS'!D121" xr:uid="{753602F4-36E2-4111-99B4-F4906FFAF4B6}"/>
    <hyperlink ref="A15" location="'FW nonmetal nonplant_WS'!D352" display="'FW nonmetal nonplant_WS'!D352" xr:uid="{7671CCC0-A536-4BB9-92EA-A8A6AD6E39FD}"/>
    <hyperlink ref="A17" location="'FW nonmetal nonplant_WS'!D418" display="'FW nonmetal nonplant_WS'!D418" xr:uid="{38A92219-3142-46F8-AE17-8BDF7515DA82}"/>
    <hyperlink ref="A11" location="'FW nonmetal nonplant_WS'!D271" display="'FW nonmetal nonplant_WS'!D271" xr:uid="{757522C0-68C2-408E-BBCA-77DD7BB58EB1}"/>
    <hyperlink ref="A19" location="'FW nonmetal nonplant_WS'!D337" display="'FW nonmetal nonplant_WS'!D337" xr:uid="{D5833E25-9D76-466A-AEC3-E66BC655AF75}"/>
    <hyperlink ref="A14" location="'FW nonmetal nonplant_WS'!D388" display="'FW nonmetal nonplant_WS'!D388" xr:uid="{E6B220AC-17D2-4852-B115-C9BC9A0A6DD9}"/>
    <hyperlink ref="A21" location="'FW nonmetal nonplant_WS'!D7" display="'FW nonmetal nonplant_WS'!D7" xr:uid="{51DDE167-9AC2-4B16-A127-DE86F61652D7}"/>
    <hyperlink ref="A22" location="'FW nonmetal nonplant_WS'!D223" display="'FW nonmetal nonplant_WS'!D223" xr:uid="{253DBD53-0418-4CA6-80AD-50B8FA3FC912}"/>
    <hyperlink ref="A23" location="'FW nonmetal nonplant_WS'!D97" display="240-3" xr:uid="{B8244BAF-B9D7-4218-9A3D-CF26B1A6F628}"/>
    <hyperlink ref="A24" location="'FW nonmetal nonplant_WS'!D103" display="240-5" xr:uid="{05733EB1-7101-4E00-B199-01815F53333C}"/>
    <hyperlink ref="A25" location="'FW nonmetal nonplant_WS'!D106" display="240-6" xr:uid="{2D32DB32-65C3-495F-9E7B-48FF46749F0B}"/>
    <hyperlink ref="A27" location="'FW nonmetal nonplant_WS'!D28" display="'FW nonmetal nonplant_WS'!D28" xr:uid="{8091E931-6A1C-415D-AE7E-E5F0CB17BC85}"/>
    <hyperlink ref="A28" location="'FW nonmetal nonplant_WS'!D4" display="'FW nonmetal nonplant_WS'!D4" xr:uid="{919DDE65-B6CF-47A6-86F2-E16EF7389918}"/>
    <hyperlink ref="A33" location="'FW nonmetal nonplant_WS'!D121" display="'FW nonmetal nonplant_WS'!D121" xr:uid="{B1814CF1-B2B4-4033-A37D-3DA571276193}"/>
    <hyperlink ref="A30" location="'FW nonmetal nonplant_WS'!D352" display="'FW nonmetal nonplant_WS'!D352" xr:uid="{68F1754E-74B1-4C72-9FC2-EB90FFA148FC}"/>
    <hyperlink ref="A32" location="'FW nonmetal nonplant_WS'!D418" display="'FW nonmetal nonplant_WS'!D418" xr:uid="{D088EBFD-AF7C-4F06-B3F5-8EBAC153DB3C}"/>
    <hyperlink ref="A26" location="'FW nonmetal nonplant_WS'!D271" display="'FW nonmetal nonplant_WS'!D271" xr:uid="{F13A70A4-7452-4F72-86C2-9C13067D19ED}"/>
    <hyperlink ref="A34" location="'FW nonmetal nonplant_WS'!D337" display="'FW nonmetal nonplant_WS'!D337" xr:uid="{F83232A3-6B77-4B62-9339-3E904F19FFFA}"/>
    <hyperlink ref="A29" location="'FW nonmetal nonplant_WS'!D388" display="'FW nonmetal nonplant_WS'!D388" xr:uid="{D4F3EDB4-8E5A-4EF0-9407-2B1FA2253DF2}"/>
    <hyperlink ref="A36" location="'FW nonmetal nonplant_WS'!D7" display="'FW nonmetal nonplant_WS'!D7" xr:uid="{C94C3FD4-AE63-4753-8538-23F6A258A003}"/>
    <hyperlink ref="A37" location="'FW nonmetal nonplant_WS'!D223" display="'FW nonmetal nonplant_WS'!D223" xr:uid="{3CE55320-245F-4E38-9DCD-95D3FC0E9CA4}"/>
    <hyperlink ref="A38" location="'FW nonmetal nonplant_WS'!D97" display="240-3" xr:uid="{E02748B3-135C-43AD-BB4E-8444E1D65375}"/>
    <hyperlink ref="A39" location="'FW nonmetal nonplant_WS'!D103" display="240-5" xr:uid="{EFCB337E-B73F-4D0B-8760-255ACE276A44}"/>
    <hyperlink ref="A40" location="'FW nonmetal nonplant_WS'!D106" display="240-6" xr:uid="{9B9E90E4-D84F-4423-9015-8D186265F232}"/>
    <hyperlink ref="A42" location="'FW nonmetal nonplant_WS'!D28" display="'FW nonmetal nonplant_WS'!D28" xr:uid="{9E5543AA-93A6-4ACA-A67C-DA08E3FF90E4}"/>
    <hyperlink ref="A43" location="'FW nonmetal nonplant_WS'!D4" display="'FW nonmetal nonplant_WS'!D4" xr:uid="{076BD1B6-3264-43B8-B3DF-997B059C98F3}"/>
    <hyperlink ref="A48" location="'FW nonmetal nonplant_WS'!D121" display="'FW nonmetal nonplant_WS'!D121" xr:uid="{F7AF9478-50CA-4982-AAED-7EFCDCF9D917}"/>
    <hyperlink ref="A45" location="'FW nonmetal nonplant_WS'!D352" display="'FW nonmetal nonplant_WS'!D352" xr:uid="{0A91B24A-EB8C-4781-A609-9BABBB21777B}"/>
    <hyperlink ref="A47" location="'FW nonmetal nonplant_WS'!D418" display="'FW nonmetal nonplant_WS'!D418" xr:uid="{6F7FE757-D834-4B07-B028-F32AE8E74197}"/>
    <hyperlink ref="A41" location="'FW nonmetal nonplant_WS'!D271" display="'FW nonmetal nonplant_WS'!D271" xr:uid="{BF2FFC23-8440-4EFD-863C-79DD77E54742}"/>
    <hyperlink ref="A49" location="'FW nonmetal nonplant_WS'!D337" display="'FW nonmetal nonplant_WS'!D337" xr:uid="{D42E0600-D89F-4DA4-96BD-79A21201A73E}"/>
    <hyperlink ref="A44" location="'FW nonmetal nonplant_WS'!D388" display="'FW nonmetal nonplant_WS'!D388" xr:uid="{FE954D58-ED60-49A5-AD6B-45D541ADC452}"/>
    <hyperlink ref="A51" location="'FW nonmetal nonplant_WS'!D7" display="'FW nonmetal nonplant_WS'!D7" xr:uid="{0E5D619E-7A67-4BA7-8F55-983958A93980}"/>
    <hyperlink ref="A52" location="'FW nonmetal nonplant_WS'!D223" display="'FW nonmetal nonplant_WS'!D223" xr:uid="{662543EB-A498-4D20-B598-8DF375C3FD43}"/>
    <hyperlink ref="A53" location="'FW nonmetal nonplant_WS'!D97" display="240-3" xr:uid="{30425696-DED7-451D-A857-940EF97D6AAD}"/>
    <hyperlink ref="A54" location="'FW nonmetal nonplant_WS'!D103" display="240-5" xr:uid="{9AE4ABB7-2517-4947-A554-C87970EEAAA2}"/>
    <hyperlink ref="A55" location="'FW nonmetal nonplant_WS'!D106" display="240-6" xr:uid="{0C2E3075-94AB-450E-9C20-FF6B3F6E254E}"/>
    <hyperlink ref="A57" location="'FW nonmetal nonplant_WS'!D28" display="'FW nonmetal nonplant_WS'!D28" xr:uid="{77732523-E3C4-4E9C-BD0F-FD37A0AF8CC5}"/>
    <hyperlink ref="A58" location="'FW nonmetal nonplant_WS'!D4" display="'FW nonmetal nonplant_WS'!D4" xr:uid="{05ED9830-0F86-4961-BFEC-326B7ACC101E}"/>
    <hyperlink ref="A63" location="'FW nonmetal nonplant_WS'!D121" display="'FW nonmetal nonplant_WS'!D121" xr:uid="{D3770E7D-D1D9-4C75-80CE-D6328571EB86}"/>
    <hyperlink ref="A60" location="'FW nonmetal nonplant_WS'!D352" display="'FW nonmetal nonplant_WS'!D352" xr:uid="{47A8592E-53C9-45FE-B614-7E4944593CFF}"/>
    <hyperlink ref="A62" location="'FW nonmetal nonplant_WS'!D418" display="'FW nonmetal nonplant_WS'!D418" xr:uid="{C85B823D-2455-4444-8A53-0CEC4C23561B}"/>
    <hyperlink ref="A56" location="'FW nonmetal nonplant_WS'!D271" display="'FW nonmetal nonplant_WS'!D271" xr:uid="{4BB41C7A-B953-455B-B269-23A1BC183D49}"/>
    <hyperlink ref="A64" location="'FW nonmetal nonplant_WS'!D337" display="'FW nonmetal nonplant_WS'!D337" xr:uid="{E7BCE8B0-19DC-45DC-B57A-BE4494169BF8}"/>
    <hyperlink ref="A59" location="'FW nonmetal nonplant_WS'!D388" display="'FW nonmetal nonplant_WS'!D388" xr:uid="{E41D3D73-28BC-4E81-AB6A-91A760AA840F}"/>
    <hyperlink ref="A66" location="'FW nonmetal nonplant_WS'!D7" display="'FW nonmetal nonplant_WS'!D7" xr:uid="{6B668727-3D2B-44F4-A4C8-6487E1EFB4D1}"/>
    <hyperlink ref="A67" location="'FW nonmetal nonplant_WS'!D223" display="'FW nonmetal nonplant_WS'!D223" xr:uid="{A16D8B26-B12A-4783-A89A-6C57D2305ECE}"/>
    <hyperlink ref="A68" location="'FW nonmetal nonplant_WS'!D97" display="240-3" xr:uid="{A1C71519-170D-4865-9B6A-7BE43970AF2E}"/>
    <hyperlink ref="A69" location="'FW nonmetal nonplant_WS'!D103" display="240-5" xr:uid="{E16ADDBB-5DAA-4683-8883-81B0991B69DD}"/>
    <hyperlink ref="A70" location="'FW nonmetal nonplant_WS'!D106" display="240-6" xr:uid="{555BF038-98E9-4BFF-9707-BDF6AC268E01}"/>
    <hyperlink ref="A72" location="'FW nonmetal nonplant_WS'!D28" display="'FW nonmetal nonplant_WS'!D28" xr:uid="{9F8EDBAD-DC2F-4A7D-A034-F70AEE913B7C}"/>
    <hyperlink ref="A73" location="'FW nonmetal nonplant_WS'!D4" display="'FW nonmetal nonplant_WS'!D4" xr:uid="{901EE910-2203-4B47-B25D-9340E1B34D1D}"/>
    <hyperlink ref="A78" location="'FW nonmetal nonplant_WS'!D121" display="'FW nonmetal nonplant_WS'!D121" xr:uid="{1C51DA45-A18B-40D2-9CBE-3CD4F19F9ED2}"/>
    <hyperlink ref="A75" location="'FW nonmetal nonplant_WS'!D352" display="'FW nonmetal nonplant_WS'!D352" xr:uid="{E327C2BE-B26E-4E29-9618-C2EC134F0EEA}"/>
    <hyperlink ref="A77" location="'FW nonmetal nonplant_WS'!D418" display="'FW nonmetal nonplant_WS'!D418" xr:uid="{02E34497-0857-4072-833A-3D9653BD82FE}"/>
    <hyperlink ref="A71" location="'FW nonmetal nonplant_WS'!D271" display="'FW nonmetal nonplant_WS'!D271" xr:uid="{8B5930EC-2F17-452F-A309-BFBF0762B53F}"/>
    <hyperlink ref="A79" location="'FW nonmetal nonplant_WS'!D337" display="'FW nonmetal nonplant_WS'!D337" xr:uid="{349DB451-979C-422C-A673-E5FF619897E3}"/>
    <hyperlink ref="A74" location="'FW nonmetal nonplant_WS'!D388" display="'FW nonmetal nonplant_WS'!D388" xr:uid="{48E12744-69DB-4CBD-BC15-76DC0D2A7D81}"/>
    <hyperlink ref="A81" location="'FW nonmetal nonplant_WS'!D7" display="'FW nonmetal nonplant_WS'!D7" xr:uid="{B274523A-DB93-48B3-9DD9-12E7B2106E90}"/>
    <hyperlink ref="A82" location="'FW nonmetal nonplant_WS'!D223" display="'FW nonmetal nonplant_WS'!D223" xr:uid="{8D078D9E-C307-4E94-A206-925387C2F84C}"/>
    <hyperlink ref="A83" location="'FW nonmetal nonplant_WS'!D97" display="240-3" xr:uid="{C6A2C6BA-F9BC-4FAF-BE33-55B70FAE6CB9}"/>
    <hyperlink ref="A84" location="'FW nonmetal nonplant_WS'!D103" display="240-5" xr:uid="{E640D83A-9EA3-4C05-8CCA-7965BB19CB7C}"/>
    <hyperlink ref="A85" location="'FW nonmetal nonplant_WS'!D106" display="240-6" xr:uid="{B6AAE996-DCE3-43F5-AF92-EA05521E3902}"/>
    <hyperlink ref="A87" location="'FW nonmetal nonplant_WS'!D28" display="'FW nonmetal nonplant_WS'!D28" xr:uid="{6CF5A605-482E-4C6C-9C8E-1EDD024E838E}"/>
    <hyperlink ref="A88" location="'FW nonmetal nonplant_WS'!D4" display="'FW nonmetal nonplant_WS'!D4" xr:uid="{FDEE366A-948E-42B7-8737-F4F050BD752E}"/>
    <hyperlink ref="A93" location="'FW nonmetal nonplant_WS'!D121" display="'FW nonmetal nonplant_WS'!D121" xr:uid="{3FAA09A7-325D-4DEF-86B3-E5459A4BD68D}"/>
    <hyperlink ref="A90" location="'FW nonmetal nonplant_WS'!D352" display="'FW nonmetal nonplant_WS'!D352" xr:uid="{05038406-7CA4-440F-BD1D-BC83501A2C3C}"/>
    <hyperlink ref="A92" location="'FW nonmetal nonplant_WS'!D418" display="'FW nonmetal nonplant_WS'!D418" xr:uid="{7A263CD1-21CE-4426-BFE1-07A3B94DCE5B}"/>
    <hyperlink ref="A86" location="'FW nonmetal nonplant_WS'!D271" display="'FW nonmetal nonplant_WS'!D271" xr:uid="{1DCFBD88-5698-4225-9230-C5A25D78D170}"/>
    <hyperlink ref="A94" location="'FW nonmetal nonplant_WS'!D337" display="'FW nonmetal nonplant_WS'!D337" xr:uid="{D41D8278-FF79-4D17-BE30-A330FEACB238}"/>
    <hyperlink ref="A89" location="'FW nonmetal nonplant_WS'!D388" display="'FW nonmetal nonplant_WS'!D388" xr:uid="{5912D5D7-D6F3-45DF-BACB-23D8B5836AC8}"/>
    <hyperlink ref="A96" location="'FW nonmetal nonplant_WS'!D7" display="'FW nonmetal nonplant_WS'!D7" xr:uid="{80A5725D-E5A0-4286-BC21-F00F2A82FFC3}"/>
    <hyperlink ref="A97" location="'FW nonmetal nonplant_WS'!D223" display="'FW nonmetal nonplant_WS'!D223" xr:uid="{089F3529-E56B-4E77-9FA7-00B551AFDBCC}"/>
    <hyperlink ref="A98" location="'FW nonmetal nonplant_WS'!D97" display="240-3" xr:uid="{5C612FE9-0560-43B5-8E9F-E9384A913675}"/>
    <hyperlink ref="A99" location="'FW nonmetal nonplant_WS'!D103" display="240-5" xr:uid="{96F9D6F7-8EAD-4918-ABF0-436F771B7F49}"/>
    <hyperlink ref="A100" location="'FW nonmetal nonplant_WS'!D106" display="240-6" xr:uid="{7E5D331B-7D38-4C1D-B78A-7D8E825E1144}"/>
    <hyperlink ref="A102" location="'FW nonmetal nonplant_WS'!D28" display="'FW nonmetal nonplant_WS'!D28" xr:uid="{3645E204-32DC-4E85-B544-77ABD8E617FA}"/>
    <hyperlink ref="A103" location="'FW nonmetal nonplant_WS'!D4" display="'FW nonmetal nonplant_WS'!D4" xr:uid="{CA72A8EC-786D-4301-AB30-B48B8633DBE5}"/>
    <hyperlink ref="A108" location="'FW nonmetal nonplant_WS'!D121" display="'FW nonmetal nonplant_WS'!D121" xr:uid="{37B6AF1D-919D-45EC-B018-B5903E5F81BC}"/>
    <hyperlink ref="A105" location="'FW nonmetal nonplant_WS'!D352" display="'FW nonmetal nonplant_WS'!D352" xr:uid="{8FC32C57-116E-4AD7-B70A-E4310CBC9F8C}"/>
    <hyperlink ref="A107" location="'FW nonmetal nonplant_WS'!D418" display="'FW nonmetal nonplant_WS'!D418" xr:uid="{0D79917B-134A-4F81-8723-ACEB5FC7D775}"/>
    <hyperlink ref="A101" location="'FW nonmetal nonplant_WS'!D271" display="'FW nonmetal nonplant_WS'!D271" xr:uid="{7FB164EB-6C87-49DB-A7A2-3363BE653CDA}"/>
    <hyperlink ref="A109" location="'FW nonmetal nonplant_WS'!D337" display="'FW nonmetal nonplant_WS'!D337" xr:uid="{F5064969-1FA4-44E3-8502-4B95171EC1C2}"/>
    <hyperlink ref="A104" location="'FW nonmetal nonplant_WS'!D388" display="'FW nonmetal nonplant_WS'!D388" xr:uid="{985DBDE2-9351-4F81-94B9-2C48470B180B}"/>
    <hyperlink ref="A111" location="'FW nonmetal nonplant_WS'!D7" display="'FW nonmetal nonplant_WS'!D7" xr:uid="{2C57BC4A-F954-41A4-9D75-03BF1DBADB20}"/>
    <hyperlink ref="A112" location="'FW nonmetal nonplant_WS'!D223" display="'FW nonmetal nonplant_WS'!D223" xr:uid="{45D182F1-2290-41A6-970F-DD724340246B}"/>
    <hyperlink ref="A113" location="'FW nonmetal nonplant_WS'!D97" display="240-3" xr:uid="{26E4A5A4-02BA-43E3-93DB-F3091C2F4345}"/>
    <hyperlink ref="A114" location="'FW nonmetal nonplant_WS'!D103" display="240-5" xr:uid="{6C8ECE0D-2B6F-40E9-89E4-0C42A844869D}"/>
    <hyperlink ref="A115" location="'FW nonmetal nonplant_WS'!D106" display="240-6" xr:uid="{492304E6-6648-41FB-987D-EE501CC95D5D}"/>
    <hyperlink ref="A117" location="'FW nonmetal nonplant_WS'!D28" display="'FW nonmetal nonplant_WS'!D28" xr:uid="{40AB21EE-6036-4C23-81C0-CBF8B666F1DB}"/>
    <hyperlink ref="A118" location="'FW nonmetal nonplant_WS'!D4" display="'FW nonmetal nonplant_WS'!D4" xr:uid="{5DF1159C-8194-4BFD-8F5B-5888D2CB90B5}"/>
    <hyperlink ref="A123" location="'FW nonmetal nonplant_WS'!D121" display="'FW nonmetal nonplant_WS'!D121" xr:uid="{713109A7-BAF0-4469-A442-03443AA85059}"/>
    <hyperlink ref="A120" location="'FW nonmetal nonplant_WS'!D352" display="'FW nonmetal nonplant_WS'!D352" xr:uid="{259B799B-D2CF-49F9-907D-84D2FDCC3E39}"/>
    <hyperlink ref="A122" location="'FW nonmetal nonplant_WS'!D418" display="'FW nonmetal nonplant_WS'!D418" xr:uid="{2C128C84-50E2-47F2-93B5-3F96432BB717}"/>
    <hyperlink ref="A116" location="'FW nonmetal nonplant_WS'!D271" display="'FW nonmetal nonplant_WS'!D271" xr:uid="{0AFE88A7-C3E7-4320-8BFB-739F5BA22DB4}"/>
    <hyperlink ref="A124" location="'FW nonmetal nonplant_WS'!D337" display="'FW nonmetal nonplant_WS'!D337" xr:uid="{6565489B-DA24-49D1-9A99-DD23C0BAABF4}"/>
    <hyperlink ref="A119" location="'FW nonmetal nonplant_WS'!D388" display="'FW nonmetal nonplant_WS'!D388" xr:uid="{C7CEAE12-6297-4415-971A-CE795A4FED93}"/>
    <hyperlink ref="A126" location="'FW nonmetal nonplant_WS'!D7" display="'FW nonmetal nonplant_WS'!D7" xr:uid="{1C9FE68E-EB71-4219-A779-7E8A69436BFC}"/>
    <hyperlink ref="A127" location="'FW nonmetal nonplant_WS'!D223" display="'FW nonmetal nonplant_WS'!D223" xr:uid="{176EEF27-6716-4C2D-91D1-378E6ACE8565}"/>
    <hyperlink ref="A128" location="'FW nonmetal nonplant_WS'!D97" display="240-3" xr:uid="{62C38F71-B1D9-49D4-96FF-4B1FE018BF6B}"/>
    <hyperlink ref="A129" location="'FW nonmetal nonplant_WS'!D103" display="240-5" xr:uid="{94DE2C71-1D48-4D3F-8536-EE5A45AAE846}"/>
    <hyperlink ref="A130" location="'FW nonmetal nonplant_WS'!D106" display="240-6" xr:uid="{E6D38CA5-BDB6-4E66-800D-9B2CFB5EAF7E}"/>
    <hyperlink ref="A132" location="'FW nonmetal nonplant_WS'!D28" display="'FW nonmetal nonplant_WS'!D28" xr:uid="{F9F5B425-D111-49D5-8524-F67F4456D5CE}"/>
    <hyperlink ref="A133" location="'FW nonmetal nonplant_WS'!D4" display="'FW nonmetal nonplant_WS'!D4" xr:uid="{1DFE76EF-8665-47E6-BA06-AEE051CC9966}"/>
    <hyperlink ref="A138" location="'FW nonmetal nonplant_WS'!D121" display="'FW nonmetal nonplant_WS'!D121" xr:uid="{D2324864-5AD6-4660-AFC1-04539F45E38A}"/>
    <hyperlink ref="A135" location="'FW nonmetal nonplant_WS'!D352" display="'FW nonmetal nonplant_WS'!D352" xr:uid="{ADCE9961-C828-4BB0-89B1-89DB526011FA}"/>
    <hyperlink ref="A137" location="'FW nonmetal nonplant_WS'!D418" display="'FW nonmetal nonplant_WS'!D418" xr:uid="{DEC315FA-93EB-4360-8038-1BC6A55472DB}"/>
    <hyperlink ref="A131" location="'FW nonmetal nonplant_WS'!D271" display="'FW nonmetal nonplant_WS'!D271" xr:uid="{B0FC4081-BC84-42ED-B10F-B902464CB287}"/>
    <hyperlink ref="A139" location="'FW nonmetal nonplant_WS'!D337" display="'FW nonmetal nonplant_WS'!D337" xr:uid="{048EE15D-9426-424A-BCA0-0E06799258C4}"/>
    <hyperlink ref="A134" location="'FW nonmetal nonplant_WS'!D388" display="'FW nonmetal nonplant_WS'!D388" xr:uid="{F736AB8E-3256-4982-A0AD-F74F064C055C}"/>
    <hyperlink ref="A141" location="'FW nonmetal nonplant_WS'!D7" display="'FW nonmetal nonplant_WS'!D7" xr:uid="{4060FDE5-BA89-4C27-88EA-AFB4D38D56F5}"/>
    <hyperlink ref="A142" location="'FW nonmetal nonplant_WS'!D223" display="'FW nonmetal nonplant_WS'!D223" xr:uid="{13F6AF30-921E-4728-B0FE-8644F4EC03BD}"/>
    <hyperlink ref="A143" location="'FW nonmetal nonplant_WS'!D97" display="240-3" xr:uid="{4B56009E-55A5-4B78-95ED-3C013F31FD9B}"/>
    <hyperlink ref="A144" location="'FW nonmetal nonplant_WS'!D103" display="240-5" xr:uid="{F7F1820D-E6C4-4391-B3D9-DFC66EDE6AA4}"/>
    <hyperlink ref="A145" location="'FW nonmetal nonplant_WS'!D106" display="240-6" xr:uid="{CA322CD2-A29E-4F56-888A-5A4A774FB3AC}"/>
    <hyperlink ref="A147" location="'FW nonmetal nonplant_WS'!D28" display="'FW nonmetal nonplant_WS'!D28" xr:uid="{267A1DDB-4505-4F03-834C-3201789CDF68}"/>
    <hyperlink ref="A148" location="'FW nonmetal nonplant_WS'!D4" display="'FW nonmetal nonplant_WS'!D4" xr:uid="{2684EE29-D2AC-43D0-B124-B70994899FFD}"/>
    <hyperlink ref="A153" location="'FW nonmetal nonplant_WS'!D121" display="'FW nonmetal nonplant_WS'!D121" xr:uid="{7FCF85A6-1182-4D72-A984-64D24F13350B}"/>
    <hyperlink ref="A150" location="'FW nonmetal nonplant_WS'!D352" display="'FW nonmetal nonplant_WS'!D352" xr:uid="{898A6BB1-A049-4C0A-BA59-B8AE053C379C}"/>
    <hyperlink ref="A152" location="'FW nonmetal nonplant_WS'!D418" display="'FW nonmetal nonplant_WS'!D418" xr:uid="{93FCF3C4-1DBD-445D-8E9A-2CC7653744E7}"/>
    <hyperlink ref="A146" location="'FW nonmetal nonplant_WS'!D271" display="'FW nonmetal nonplant_WS'!D271" xr:uid="{592F1811-4857-4687-9950-9EE15420BCAA}"/>
    <hyperlink ref="A154" location="'FW nonmetal nonplant_WS'!D337" display="'FW nonmetal nonplant_WS'!D337" xr:uid="{DD24BF1A-0213-4FD4-8B26-8F662F58224C}"/>
    <hyperlink ref="A149" location="'FW nonmetal nonplant_WS'!D388" display="'FW nonmetal nonplant_WS'!D388" xr:uid="{E8AF1B8D-BF2E-45C9-87FB-74F1A87E1601}"/>
    <hyperlink ref="A156" location="'FW nonmetal nonplant_WS'!D7" display="'FW nonmetal nonplant_WS'!D7" xr:uid="{5DBB2888-B9B2-4BFE-AA19-8FD15D77DD22}"/>
    <hyperlink ref="A157" location="'FW nonmetal nonplant_WS'!D223" display="'FW nonmetal nonplant_WS'!D223" xr:uid="{5A7F6F4A-CE49-4DE9-B589-CE34DF487C66}"/>
    <hyperlink ref="A158" location="'FW nonmetal nonplant_WS'!D97" display="240-3" xr:uid="{927A06DC-987A-4D6A-A44C-258A412E76AE}"/>
    <hyperlink ref="A159" location="'FW nonmetal nonplant_WS'!D103" display="240-5" xr:uid="{0CD56A0E-23E5-44FE-8E14-E5F3725D6133}"/>
    <hyperlink ref="A160" location="'FW nonmetal nonplant_WS'!D106" display="240-6" xr:uid="{A3471FFF-E476-4FA7-BFA7-361793B929EB}"/>
    <hyperlink ref="A162" location="'FW nonmetal nonplant_WS'!D28" display="'FW nonmetal nonplant_WS'!D28" xr:uid="{97AB1D73-E795-4EB8-943C-802CC7EDFC8C}"/>
    <hyperlink ref="A163" location="'FW nonmetal nonplant_WS'!D4" display="'FW nonmetal nonplant_WS'!D4" xr:uid="{39961B57-C146-4CEE-8C17-48160C8A58EA}"/>
    <hyperlink ref="A168" location="'FW nonmetal nonplant_WS'!D121" display="'FW nonmetal nonplant_WS'!D121" xr:uid="{313A681F-DC1C-499F-8926-BCCFFFB3B83B}"/>
    <hyperlink ref="A165" location="'FW nonmetal nonplant_WS'!D352" display="'FW nonmetal nonplant_WS'!D352" xr:uid="{548169C1-F469-4966-A0B9-9C1804ED361C}"/>
    <hyperlink ref="A167" location="'FW nonmetal nonplant_WS'!D418" display="'FW nonmetal nonplant_WS'!D418" xr:uid="{30A88CCA-97BB-4DA5-AC5F-04DE6418A92E}"/>
    <hyperlink ref="A161" location="'FW nonmetal nonplant_WS'!D271" display="'FW nonmetal nonplant_WS'!D271" xr:uid="{B2C1826C-3309-4308-8745-818EC9875FB3}"/>
    <hyperlink ref="A169" location="'FW nonmetal nonplant_WS'!D337" display="'FW nonmetal nonplant_WS'!D337" xr:uid="{4E2CD3B8-8D0A-4BDA-92AC-A7D881E928AB}"/>
    <hyperlink ref="A164" location="'FW nonmetal nonplant_WS'!D388" display="'FW nonmetal nonplant_WS'!D388" xr:uid="{201D0287-2065-4B11-831E-C69773E9C2BD}"/>
    <hyperlink ref="A171" location="'FW nonmetal nonplant_WS'!D7" display="'FW nonmetal nonplant_WS'!D7" xr:uid="{1078200B-4E46-40CF-AE9E-946442FE2C83}"/>
    <hyperlink ref="A172" location="'FW nonmetal nonplant_WS'!D223" display="'FW nonmetal nonplant_WS'!D223" xr:uid="{480768BC-9240-4273-9BA6-6802B8F8BC10}"/>
    <hyperlink ref="A173" location="'FW nonmetal nonplant_WS'!D97" display="240-3" xr:uid="{617DEE52-D9BE-4CF6-96CE-058C2507E48F}"/>
    <hyperlink ref="A174" location="'FW nonmetal nonplant_WS'!D103" display="240-5" xr:uid="{7BE42B67-6ED1-43CB-9471-AA12CAB2E456}"/>
    <hyperlink ref="A175" location="'FW nonmetal nonplant_WS'!D106" display="240-6" xr:uid="{E6E2DD23-476E-4021-B655-394CF02D805C}"/>
    <hyperlink ref="A177" location="'FW nonmetal nonplant_WS'!D28" display="'FW nonmetal nonplant_WS'!D28" xr:uid="{8F5609DF-563B-4BD2-9B04-51CC89911119}"/>
    <hyperlink ref="A178" location="'FW nonmetal nonplant_WS'!D4" display="'FW nonmetal nonplant_WS'!D4" xr:uid="{F67CD201-CB6A-41DA-9263-36033FB5E202}"/>
    <hyperlink ref="A183" location="'FW nonmetal nonplant_WS'!D121" display="'FW nonmetal nonplant_WS'!D121" xr:uid="{B7BCCBD9-317A-417C-B298-20E21303DEB7}"/>
    <hyperlink ref="A180" location="'FW nonmetal nonplant_WS'!D352" display="'FW nonmetal nonplant_WS'!D352" xr:uid="{0C77B089-FF55-4A75-BD70-FBF882B5229E}"/>
    <hyperlink ref="A182" location="'FW nonmetal nonplant_WS'!D418" display="'FW nonmetal nonplant_WS'!D418" xr:uid="{022B34E3-7947-4014-9931-F87414BD3B82}"/>
    <hyperlink ref="A176" location="'FW nonmetal nonplant_WS'!D271" display="'FW nonmetal nonplant_WS'!D271" xr:uid="{908F6521-B494-4FBC-9A5C-EAF1229E8AD1}"/>
    <hyperlink ref="A184" location="'FW nonmetal nonplant_WS'!D337" display="'FW nonmetal nonplant_WS'!D337" xr:uid="{E41EC6A3-F260-48F7-A703-E1CBD062A5E5}"/>
    <hyperlink ref="A179" location="'FW nonmetal nonplant_WS'!D388" display="'FW nonmetal nonplant_WS'!D388" xr:uid="{4AA7C7AC-C35B-4284-8A66-10CCE51D9FE0}"/>
    <hyperlink ref="A186" location="'FW nonmetal nonplant_WS'!D7" display="'FW nonmetal nonplant_WS'!D7" xr:uid="{9D85CC68-9637-463E-AF7D-636E259B65D9}"/>
    <hyperlink ref="A187" location="'FW nonmetal nonplant_WS'!D223" display="'FW nonmetal nonplant_WS'!D223" xr:uid="{ABD58B58-C710-41DA-8811-23B6669988B9}"/>
    <hyperlink ref="A188" location="'FW nonmetal nonplant_WS'!D97" display="240-3" xr:uid="{A4809FA0-C501-4A53-80A6-833B80293E4C}"/>
    <hyperlink ref="A189" location="'FW nonmetal nonplant_WS'!D103" display="240-5" xr:uid="{BB0E2DCA-8A6E-4B35-AC10-7DFF4810D19A}"/>
    <hyperlink ref="A190" location="'FW nonmetal nonplant_WS'!D106" display="240-6" xr:uid="{4DCFABBC-3B73-491F-BB3F-612C5009E241}"/>
    <hyperlink ref="A192" location="'FW nonmetal nonplant_WS'!D28" display="'FW nonmetal nonplant_WS'!D28" xr:uid="{F79DC3CC-8FDF-4F13-BF35-702849D8BDDD}"/>
    <hyperlink ref="A193" location="'FW nonmetal nonplant_WS'!D4" display="'FW nonmetal nonplant_WS'!D4" xr:uid="{65D27D63-FEB9-4F1B-90B5-E7B94CCD1639}"/>
    <hyperlink ref="A198" location="'FW nonmetal nonplant_WS'!D121" display="'FW nonmetal nonplant_WS'!D121" xr:uid="{048188F1-82D3-4DCC-B9BE-DCEC1A66AD22}"/>
    <hyperlink ref="A195" location="'FW nonmetal nonplant_WS'!D352" display="'FW nonmetal nonplant_WS'!D352" xr:uid="{D0F437A9-89A6-4C49-94F6-7CE50CCE538B}"/>
    <hyperlink ref="A197" location="'FW nonmetal nonplant_WS'!D418" display="'FW nonmetal nonplant_WS'!D418" xr:uid="{928FF955-A6C8-47C7-A41E-93554F106F1A}"/>
    <hyperlink ref="A191" location="'FW nonmetal nonplant_WS'!D271" display="'FW nonmetal nonplant_WS'!D271" xr:uid="{DAF626E6-0103-45E0-985E-FC4A560713A2}"/>
    <hyperlink ref="A199" location="'FW nonmetal nonplant_WS'!D337" display="'FW nonmetal nonplant_WS'!D337" xr:uid="{84836D1B-FFAF-44EE-9D44-699740C95F87}"/>
    <hyperlink ref="A194" location="'FW nonmetal nonplant_WS'!D388" display="'FW nonmetal nonplant_WS'!D388" xr:uid="{A6F94AD3-AC92-4C07-A11C-3B8E717D5D8F}"/>
    <hyperlink ref="A201" location="'FW nonmetal nonplant_WS'!D7" display="'FW nonmetal nonplant_WS'!D7" xr:uid="{F0B415D0-9EB0-45BD-8D0D-F60F99F2E6F5}"/>
    <hyperlink ref="A202" location="'FW nonmetal nonplant_WS'!D223" display="'FW nonmetal nonplant_WS'!D223" xr:uid="{01C8F79B-1C16-49F0-A557-80775C039C1E}"/>
    <hyperlink ref="A203" location="'FW nonmetal nonplant_WS'!D97" display="240-3" xr:uid="{B8C1BD7B-273F-4E90-879A-72C1797D42EF}"/>
    <hyperlink ref="A204" location="'FW nonmetal nonplant_WS'!D103" display="240-5" xr:uid="{52EAD9CD-A917-484F-9A10-63742977DA23}"/>
    <hyperlink ref="A205" location="'FW nonmetal nonplant_WS'!D106" display="240-6" xr:uid="{6C1376AD-2692-456D-A463-EAC563FBB850}"/>
    <hyperlink ref="A207" location="'FW nonmetal nonplant_WS'!D28" display="'FW nonmetal nonplant_WS'!D28" xr:uid="{7D309B9B-AFE8-43DD-8686-4BCFEC41EAE5}"/>
    <hyperlink ref="A208" location="'FW nonmetal nonplant_WS'!D4" display="'FW nonmetal nonplant_WS'!D4" xr:uid="{5A4B8621-8F88-4496-A03E-EC1A7028924A}"/>
    <hyperlink ref="A213" location="'FW nonmetal nonplant_WS'!D121" display="'FW nonmetal nonplant_WS'!D121" xr:uid="{E166D4D2-64FF-46CC-B049-E52395AB5305}"/>
    <hyperlink ref="A210" location="'FW nonmetal nonplant_WS'!D352" display="'FW nonmetal nonplant_WS'!D352" xr:uid="{B4092614-9051-4606-B8E3-069C23ABB551}"/>
    <hyperlink ref="A212" location="'FW nonmetal nonplant_WS'!D418" display="'FW nonmetal nonplant_WS'!D418" xr:uid="{8D4C3BE8-B953-419A-92FD-8832354F7466}"/>
    <hyperlink ref="A206" location="'FW nonmetal nonplant_WS'!D271" display="'FW nonmetal nonplant_WS'!D271" xr:uid="{D7BD447F-767C-464B-8191-32DFC66A39B8}"/>
    <hyperlink ref="A214" location="'FW nonmetal nonplant_WS'!D337" display="'FW nonmetal nonplant_WS'!D337" xr:uid="{E177BFE9-0592-4177-92B4-1C2742D09605}"/>
    <hyperlink ref="A209" location="'FW nonmetal nonplant_WS'!D388" display="'FW nonmetal nonplant_WS'!D388" xr:uid="{362E81F1-0656-48E5-B220-53E16051E94C}"/>
    <hyperlink ref="A216" location="'FW nonmetal nonplant_WS'!D7" display="'FW nonmetal nonplant_WS'!D7" xr:uid="{9B1D35E4-4116-417F-9320-B0ABD6E4DE69}"/>
    <hyperlink ref="A217" location="'FW nonmetal nonplant_WS'!D223" display="'FW nonmetal nonplant_WS'!D223" xr:uid="{20AC2CA9-9FA8-4E82-8007-1CDBE8460BA3}"/>
    <hyperlink ref="A218" location="'FW nonmetal nonplant_WS'!D97" display="240-3" xr:uid="{6A8B3E3C-3EE7-4EAF-8873-365A2C53EFCA}"/>
    <hyperlink ref="A219" location="'FW nonmetal nonplant_WS'!D103" display="240-5" xr:uid="{DE33424D-4A91-4AB4-8424-48CEC829E9BB}"/>
    <hyperlink ref="A220" location="'FW nonmetal nonplant_WS'!D106" display="240-6" xr:uid="{7330A344-6E7F-4CEB-A7CB-CFF1A47F04B2}"/>
    <hyperlink ref="A222" location="'FW nonmetal nonplant_WS'!D28" display="'FW nonmetal nonplant_WS'!D28" xr:uid="{D9348838-3537-4B9F-A738-85AC3FE9773F}"/>
    <hyperlink ref="A223" location="'FW nonmetal nonplant_WS'!D4" display="'FW nonmetal nonplant_WS'!D4" xr:uid="{15118779-F877-46F1-B312-A1D84B37A6F6}"/>
    <hyperlink ref="A228" location="'FW nonmetal nonplant_WS'!D121" display="'FW nonmetal nonplant_WS'!D121" xr:uid="{956617B0-EDC8-4FD8-918F-27A1C2B0D8F8}"/>
    <hyperlink ref="A225" location="'FW nonmetal nonplant_WS'!D352" display="'FW nonmetal nonplant_WS'!D352" xr:uid="{0676332A-D198-4855-9728-5006789FFA4C}"/>
    <hyperlink ref="A227" location="'FW nonmetal nonplant_WS'!D418" display="'FW nonmetal nonplant_WS'!D418" xr:uid="{AA1C3106-4E6C-49D5-880A-D83EE42F5321}"/>
    <hyperlink ref="A221" location="'FW nonmetal nonplant_WS'!D271" display="'FW nonmetal nonplant_WS'!D271" xr:uid="{C966A6F7-19BA-4F79-A0F6-8DD409B71489}"/>
    <hyperlink ref="A229" location="'FW nonmetal nonplant_WS'!D337" display="'FW nonmetal nonplant_WS'!D337" xr:uid="{FC2E3806-DAD6-4346-85FC-91C95BE1FEC8}"/>
    <hyperlink ref="A224" location="'FW nonmetal nonplant_WS'!D388" display="'FW nonmetal nonplant_WS'!D388" xr:uid="{39E521A1-538E-4D5A-8794-975C91C34D30}"/>
    <hyperlink ref="A231" location="'FW nonmetal nonplant_WS'!D7" display="'FW nonmetal nonplant_WS'!D7" xr:uid="{6DBAD5CC-D4C9-4EC0-8246-956233DC359A}"/>
    <hyperlink ref="A232" location="'FW nonmetal nonplant_WS'!D223" display="'FW nonmetal nonplant_WS'!D223" xr:uid="{0F4C11BB-3FE8-4144-BF58-628BF7A71F33}"/>
    <hyperlink ref="A233" location="'FW nonmetal nonplant_WS'!D97" display="240-3" xr:uid="{6E7F3425-67DA-4922-AE31-ED4C959E8629}"/>
    <hyperlink ref="A234" location="'FW nonmetal nonplant_WS'!D103" display="240-5" xr:uid="{0917D34B-F6DD-4387-8BDC-254CCE3CCC54}"/>
    <hyperlink ref="A235" location="'FW nonmetal nonplant_WS'!D106" display="240-6" xr:uid="{0A675BC3-2DBE-4C55-9662-3C09E0316A26}"/>
    <hyperlink ref="A237" location="'FW nonmetal nonplant_WS'!D28" display="'FW nonmetal nonplant_WS'!D28" xr:uid="{60BD2C6A-254C-4A32-AE30-D60818CE82E4}"/>
    <hyperlink ref="A238" location="'FW nonmetal nonplant_WS'!D4" display="'FW nonmetal nonplant_WS'!D4" xr:uid="{DC5CC97C-6046-4908-8F09-CDFA76C4F9EF}"/>
    <hyperlink ref="A243" location="'FW nonmetal nonplant_WS'!D121" display="'FW nonmetal nonplant_WS'!D121" xr:uid="{4B7AF8B3-6154-422B-9709-9B57EB63C82F}"/>
    <hyperlink ref="A240" location="'FW nonmetal nonplant_WS'!D352" display="'FW nonmetal nonplant_WS'!D352" xr:uid="{A70FB41A-0417-45B1-BEF5-BB19172FAC5A}"/>
    <hyperlink ref="A242" location="'FW nonmetal nonplant_WS'!D418" display="'FW nonmetal nonplant_WS'!D418" xr:uid="{DF9C47AA-248A-46A0-A72A-D943B8989D51}"/>
    <hyperlink ref="A236" location="'FW nonmetal nonplant_WS'!D271" display="'FW nonmetal nonplant_WS'!D271" xr:uid="{57426ED3-257F-42C9-95F5-0349C814D91E}"/>
    <hyperlink ref="A244" location="'FW nonmetal nonplant_WS'!D337" display="'FW nonmetal nonplant_WS'!D337" xr:uid="{95CF8D2A-2977-4443-9413-3DA001D39D80}"/>
    <hyperlink ref="A239" location="'FW nonmetal nonplant_WS'!D388" display="'FW nonmetal nonplant_WS'!D388" xr:uid="{D916EB0C-EB12-483E-89CC-A043A9A962B1}"/>
    <hyperlink ref="A246" location="'FW nonmetal nonplant_WS'!D7" display="'FW nonmetal nonplant_WS'!D7" xr:uid="{F3C48EC9-5762-4972-BF37-92408D4F975B}"/>
    <hyperlink ref="A247" location="'FW nonmetal nonplant_WS'!D223" display="'FW nonmetal nonplant_WS'!D223" xr:uid="{3E9E49DF-5F38-41E1-8206-C0A005890E86}"/>
    <hyperlink ref="A248" location="'FW nonmetal nonplant_WS'!D97" display="240-3" xr:uid="{2DBD6F4B-4F1B-4C8E-9FFD-6FE8EA7CD041}"/>
    <hyperlink ref="A249" location="'FW nonmetal nonplant_WS'!D103" display="240-5" xr:uid="{2F451835-9D84-4202-AA41-84A2E6826CE0}"/>
    <hyperlink ref="A250" location="'FW nonmetal nonplant_WS'!D106" display="240-6" xr:uid="{F6CA91EE-62F0-4D83-9B66-5190410A2C3D}"/>
    <hyperlink ref="A252" location="'FW nonmetal nonplant_WS'!D28" display="'FW nonmetal nonplant_WS'!D28" xr:uid="{EAF0F66C-2887-4DD6-ADC9-00364BF7B866}"/>
    <hyperlink ref="A253" location="'FW nonmetal nonplant_WS'!D4" display="'FW nonmetal nonplant_WS'!D4" xr:uid="{E0635761-C204-42BD-ACCD-2E16734CE786}"/>
    <hyperlink ref="A258" location="'FW nonmetal nonplant_WS'!D121" display="'FW nonmetal nonplant_WS'!D121" xr:uid="{4732C5E0-B74C-4922-97C2-A72DE814D7E4}"/>
    <hyperlink ref="A255" location="'FW nonmetal nonplant_WS'!D352" display="'FW nonmetal nonplant_WS'!D352" xr:uid="{053C68C4-074B-4C73-AFC7-6664F8893448}"/>
    <hyperlink ref="A257" location="'FW nonmetal nonplant_WS'!D418" display="'FW nonmetal nonplant_WS'!D418" xr:uid="{BE351FEA-EB5C-4ABD-AC89-9A5385774B99}"/>
    <hyperlink ref="A251" location="'FW nonmetal nonplant_WS'!D271" display="'FW nonmetal nonplant_WS'!D271" xr:uid="{E9855863-1CF3-445F-88EA-C38ACF972F16}"/>
    <hyperlink ref="A259" location="'FW nonmetal nonplant_WS'!D337" display="'FW nonmetal nonplant_WS'!D337" xr:uid="{03632A70-E0BE-4A9C-8F14-FAAAE7D04589}"/>
    <hyperlink ref="A254" location="'FW nonmetal nonplant_WS'!D388" display="'FW nonmetal nonplant_WS'!D388" xr:uid="{4348CE70-C283-4EE1-A995-4BCAB9A5816D}"/>
    <hyperlink ref="A261" location="'FW nonmetal nonplant_WS'!D7" display="'FW nonmetal nonplant_WS'!D7" xr:uid="{105E5A89-B7DA-420F-A034-E8FC2916CD88}"/>
    <hyperlink ref="A262" location="'FW nonmetal nonplant_WS'!D223" display="'FW nonmetal nonplant_WS'!D223" xr:uid="{14A51CA9-0092-4792-8773-B1D244E0F48E}"/>
    <hyperlink ref="A263" location="'FW nonmetal nonplant_WS'!D97" display="240-3" xr:uid="{5D5BAD2A-21B7-44E8-BA4E-6F66AA54067B}"/>
    <hyperlink ref="A264" location="'FW nonmetal nonplant_WS'!D103" display="240-5" xr:uid="{056E2A37-DC3F-4F05-90C1-71BC528F6708}"/>
    <hyperlink ref="A265" location="'FW nonmetal nonplant_WS'!D106" display="240-6" xr:uid="{BF0AB9A8-42F9-47A1-812F-5852E4B583FF}"/>
    <hyperlink ref="A267" location="'FW nonmetal nonplant_WS'!D28" display="'FW nonmetal nonplant_WS'!D28" xr:uid="{FD75B317-0BA9-430A-B3E5-86FED40A035B}"/>
    <hyperlink ref="A268" location="'FW nonmetal nonplant_WS'!D4" display="'FW nonmetal nonplant_WS'!D4" xr:uid="{0CFF4E82-7757-485E-A975-093E6659CFFC}"/>
    <hyperlink ref="A273" location="'FW nonmetal nonplant_WS'!D121" display="'FW nonmetal nonplant_WS'!D121" xr:uid="{AFB507BD-CD6F-4E89-A24A-162AFB3059D7}"/>
    <hyperlink ref="A270" location="'FW nonmetal nonplant_WS'!D352" display="'FW nonmetal nonplant_WS'!D352" xr:uid="{9A52D25A-AF3F-4449-9B3A-EBD11BE8339E}"/>
    <hyperlink ref="A272" location="'FW nonmetal nonplant_WS'!D418" display="'FW nonmetal nonplant_WS'!D418" xr:uid="{D832B506-1A60-4C7C-8ABF-9366EDD80991}"/>
    <hyperlink ref="A266" location="'FW nonmetal nonplant_WS'!D271" display="'FW nonmetal nonplant_WS'!D271" xr:uid="{DF78EC30-84CB-4D5D-9490-730B41232819}"/>
    <hyperlink ref="A274" location="'FW nonmetal nonplant_WS'!D337" display="'FW nonmetal nonplant_WS'!D337" xr:uid="{5FE72BFD-BFCF-4152-9A05-3E8D7EDB2890}"/>
    <hyperlink ref="A269" location="'FW nonmetal nonplant_WS'!D388" display="'FW nonmetal nonplant_WS'!D388" xr:uid="{91A5C1C7-1DB6-4E18-8663-126A87C07C5E}"/>
    <hyperlink ref="A276" location="'FW nonmetal nonplant_WS'!D7" display="'FW nonmetal nonplant_WS'!D7" xr:uid="{F7D62EE9-19F2-42B9-AB38-0571EBBCEAFD}"/>
    <hyperlink ref="A277" location="'FW nonmetal nonplant_WS'!D223" display="'FW nonmetal nonplant_WS'!D223" xr:uid="{2325A444-37DF-4138-B5DA-CFB650C57D76}"/>
    <hyperlink ref="A278" location="'FW nonmetal nonplant_WS'!D97" display="240-3" xr:uid="{436D7306-4F52-41E5-A1BD-3939ED820A89}"/>
    <hyperlink ref="A279" location="'FW nonmetal nonplant_WS'!D103" display="240-5" xr:uid="{F7491CC5-0D10-4E07-B5DE-ACE242B7E7BF}"/>
    <hyperlink ref="A280" location="'FW nonmetal nonplant_WS'!D106" display="240-6" xr:uid="{ED1D76AB-D12B-4934-B868-D9333091D7CE}"/>
    <hyperlink ref="A282" location="'FW nonmetal nonplant_WS'!D28" display="'FW nonmetal nonplant_WS'!D28" xr:uid="{E348C063-D169-4444-81A0-43853485434F}"/>
    <hyperlink ref="A283" location="'FW nonmetal nonplant_WS'!D4" display="'FW nonmetal nonplant_WS'!D4" xr:uid="{D353A22A-D4D6-40A9-B69F-FAB1EB53A097}"/>
    <hyperlink ref="A288" location="'FW nonmetal nonplant_WS'!D121" display="'FW nonmetal nonplant_WS'!D121" xr:uid="{950A6309-2890-4A9E-A5D0-2E546FB0664A}"/>
    <hyperlink ref="A285" location="'FW nonmetal nonplant_WS'!D352" display="'FW nonmetal nonplant_WS'!D352" xr:uid="{798B6180-E3AB-4B67-A9F9-A2CB7B706E16}"/>
    <hyperlink ref="A287" location="'FW nonmetal nonplant_WS'!D418" display="'FW nonmetal nonplant_WS'!D418" xr:uid="{B3DDB5E2-60A5-4E7C-995A-6AEB673C5C68}"/>
    <hyperlink ref="A281" location="'FW nonmetal nonplant_WS'!D271" display="'FW nonmetal nonplant_WS'!D271" xr:uid="{8C98EBBC-3216-4D27-BBFC-B9E5154E7BE4}"/>
    <hyperlink ref="A289" location="'FW nonmetal nonplant_WS'!D337" display="'FW nonmetal nonplant_WS'!D337" xr:uid="{83AAF01C-5DC6-41C5-9DA5-F18665E64545}"/>
    <hyperlink ref="A284" location="'FW nonmetal nonplant_WS'!D388" display="'FW nonmetal nonplant_WS'!D388" xr:uid="{7F8E6400-76C2-4762-9079-BB82AD040D45}"/>
    <hyperlink ref="A291" location="'FW nonmetal nonplant_WS'!D7" display="'FW nonmetal nonplant_WS'!D7" xr:uid="{DF09DEF8-460B-40C7-9045-495DAE97066F}"/>
    <hyperlink ref="A292" location="'FW nonmetal nonplant_WS'!D223" display="'FW nonmetal nonplant_WS'!D223" xr:uid="{1D1201B0-C83B-4624-BF1F-D85E12A39B86}"/>
    <hyperlink ref="A293" location="'FW nonmetal nonplant_WS'!D97" display="240-3" xr:uid="{704F560E-8C95-4D96-B307-BA57A6E6A6EB}"/>
    <hyperlink ref="A294" location="'FW nonmetal nonplant_WS'!D103" display="240-5" xr:uid="{B41FE31A-158A-48A2-A150-D34B51911211}"/>
    <hyperlink ref="A295" location="'FW nonmetal nonplant_WS'!D106" display="240-6" xr:uid="{604F2E73-845B-4A16-99AC-1FCD7D3E6247}"/>
    <hyperlink ref="A297" location="'FW nonmetal nonplant_WS'!D28" display="'FW nonmetal nonplant_WS'!D28" xr:uid="{640E28EC-94B8-4D97-A058-A65578D8477C}"/>
    <hyperlink ref="A298" location="'FW nonmetal nonplant_WS'!D4" display="'FW nonmetal nonplant_WS'!D4" xr:uid="{DE8A67B7-3219-4DD1-B8E2-61ADA1FDB8DC}"/>
    <hyperlink ref="A303" location="'FW nonmetal nonplant_WS'!D121" display="'FW nonmetal nonplant_WS'!D121" xr:uid="{00BE45A6-35CA-4A30-BB23-99641E1B416E}"/>
    <hyperlink ref="A300" location="'FW nonmetal nonplant_WS'!D352" display="'FW nonmetal nonplant_WS'!D352" xr:uid="{4CD260B2-C367-46BE-8678-6EF2B6F2E6D0}"/>
    <hyperlink ref="A302" location="'FW nonmetal nonplant_WS'!D418" display="'FW nonmetal nonplant_WS'!D418" xr:uid="{43AF4218-D138-4F65-92FF-3CB1C81A2E0E}"/>
    <hyperlink ref="A296" location="'FW nonmetal nonplant_WS'!D271" display="'FW nonmetal nonplant_WS'!D271" xr:uid="{51A03677-A3F6-498E-84B7-874ED9286C00}"/>
    <hyperlink ref="A304" location="'FW nonmetal nonplant_WS'!D337" display="'FW nonmetal nonplant_WS'!D337" xr:uid="{6464F221-C5D9-4D85-AB89-CC05F55C2E70}"/>
    <hyperlink ref="A299" location="'FW nonmetal nonplant_WS'!D388" display="'FW nonmetal nonplant_WS'!D388" xr:uid="{611CA475-023B-4BA1-8DCC-EB5123FFC51D}"/>
  </hyperlink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C8E1F-AA28-4789-9232-E5A366F55CC6}">
  <dimension ref="A1:F32"/>
  <sheetViews>
    <sheetView workbookViewId="0"/>
  </sheetViews>
  <sheetFormatPr baseColWidth="10" defaultColWidth="8.83203125" defaultRowHeight="15" x14ac:dyDescent="0.2"/>
  <cols>
    <col min="1" max="1" width="18" bestFit="1" customWidth="1"/>
    <col min="2" max="2" width="29.33203125" bestFit="1" customWidth="1"/>
  </cols>
  <sheetData>
    <row r="1" spans="1:6" x14ac:dyDescent="0.2">
      <c r="A1" s="211" t="s">
        <v>590</v>
      </c>
    </row>
    <row r="2" spans="1:6" x14ac:dyDescent="0.2">
      <c r="A2" s="211"/>
    </row>
    <row r="3" spans="1:6" x14ac:dyDescent="0.2">
      <c r="A3" t="s">
        <v>895</v>
      </c>
    </row>
    <row r="4" spans="1:6" x14ac:dyDescent="0.2">
      <c r="A4" t="s">
        <v>589</v>
      </c>
    </row>
    <row r="5" spans="1:6" x14ac:dyDescent="0.2">
      <c r="A5" t="s">
        <v>959</v>
      </c>
    </row>
    <row r="8" spans="1:6" x14ac:dyDescent="0.2">
      <c r="A8" s="211" t="s">
        <v>621</v>
      </c>
    </row>
    <row r="9" spans="1:6" x14ac:dyDescent="0.2">
      <c r="A9" s="211"/>
    </row>
    <row r="10" spans="1:6" x14ac:dyDescent="0.2">
      <c r="A10" s="212"/>
      <c r="B10" s="213" t="s">
        <v>619</v>
      </c>
      <c r="C10" s="197"/>
      <c r="D10" s="213" t="s">
        <v>618</v>
      </c>
      <c r="E10" s="197"/>
      <c r="F10" s="198"/>
    </row>
    <row r="11" spans="1:6" x14ac:dyDescent="0.2">
      <c r="A11" s="223" t="s">
        <v>583</v>
      </c>
      <c r="B11" s="224" t="s">
        <v>588</v>
      </c>
      <c r="C11" s="224" t="s">
        <v>584</v>
      </c>
      <c r="D11" s="224" t="s">
        <v>585</v>
      </c>
      <c r="E11" s="224" t="s">
        <v>586</v>
      </c>
      <c r="F11" s="225" t="s">
        <v>587</v>
      </c>
    </row>
    <row r="12" spans="1:6" x14ac:dyDescent="0.2">
      <c r="A12" s="214">
        <v>7</v>
      </c>
      <c r="B12" s="87">
        <v>10</v>
      </c>
      <c r="C12" s="87">
        <v>0.74</v>
      </c>
      <c r="D12" s="87">
        <v>1.5</v>
      </c>
      <c r="E12" s="218">
        <v>2.2999999999999998</v>
      </c>
      <c r="F12" s="215">
        <v>3.7</v>
      </c>
    </row>
    <row r="13" spans="1:6" x14ac:dyDescent="0.2">
      <c r="A13" s="214">
        <v>7</v>
      </c>
      <c r="B13" s="87">
        <v>11</v>
      </c>
      <c r="C13" s="87">
        <v>0.69</v>
      </c>
      <c r="D13" s="87">
        <v>1.5</v>
      </c>
      <c r="E13" s="87">
        <v>2.2000000000000002</v>
      </c>
      <c r="F13" s="215">
        <v>3.6</v>
      </c>
    </row>
    <row r="14" spans="1:6" x14ac:dyDescent="0.2">
      <c r="A14" s="214">
        <v>7</v>
      </c>
      <c r="B14" s="87">
        <v>12</v>
      </c>
      <c r="C14" s="87">
        <v>0.62</v>
      </c>
      <c r="D14" s="87">
        <v>1.4</v>
      </c>
      <c r="E14" s="87">
        <v>2.1</v>
      </c>
      <c r="F14" s="215">
        <v>3.5</v>
      </c>
    </row>
    <row r="15" spans="1:6" x14ac:dyDescent="0.2">
      <c r="A15" s="214">
        <v>7</v>
      </c>
      <c r="B15" s="87">
        <v>13</v>
      </c>
      <c r="C15" s="87">
        <v>0.55000000000000004</v>
      </c>
      <c r="D15" s="87">
        <v>1.3</v>
      </c>
      <c r="E15" s="218">
        <v>2</v>
      </c>
      <c r="F15" s="216">
        <v>3.3</v>
      </c>
    </row>
    <row r="16" spans="1:6" x14ac:dyDescent="0.2">
      <c r="A16" s="214">
        <v>7</v>
      </c>
      <c r="B16" s="87">
        <v>14</v>
      </c>
      <c r="C16" s="217">
        <v>0.52</v>
      </c>
      <c r="D16" s="87">
        <v>1.2</v>
      </c>
      <c r="E16" s="87">
        <v>1.9</v>
      </c>
      <c r="F16" s="215">
        <v>3.3</v>
      </c>
    </row>
    <row r="17" spans="1:6" x14ac:dyDescent="0.2">
      <c r="A17" s="214">
        <v>7</v>
      </c>
      <c r="B17" s="87">
        <v>15</v>
      </c>
      <c r="C17" s="87">
        <v>0.46</v>
      </c>
      <c r="D17" s="218">
        <v>1.1000000000000001</v>
      </c>
      <c r="E17" s="87">
        <v>1.8</v>
      </c>
      <c r="F17" s="215">
        <v>3.1</v>
      </c>
    </row>
    <row r="18" spans="1:6" x14ac:dyDescent="0.2">
      <c r="A18" s="214">
        <v>7</v>
      </c>
      <c r="B18" s="87">
        <v>16</v>
      </c>
      <c r="C18" s="87">
        <v>0.41</v>
      </c>
      <c r="D18" s="218">
        <v>1</v>
      </c>
      <c r="E18" s="87">
        <v>1.7</v>
      </c>
      <c r="F18" s="216">
        <v>3</v>
      </c>
    </row>
    <row r="19" spans="1:6" x14ac:dyDescent="0.2">
      <c r="A19" s="214">
        <v>7</v>
      </c>
      <c r="B19" s="87">
        <v>17</v>
      </c>
      <c r="C19" s="87">
        <v>0.37</v>
      </c>
      <c r="D19" s="87">
        <v>0.98</v>
      </c>
      <c r="E19" s="87">
        <v>1.6</v>
      </c>
      <c r="F19" s="215">
        <v>2.9</v>
      </c>
    </row>
    <row r="20" spans="1:6" x14ac:dyDescent="0.2">
      <c r="A20" s="214">
        <v>7</v>
      </c>
      <c r="B20" s="87">
        <v>18</v>
      </c>
      <c r="C20" s="87">
        <v>0.33</v>
      </c>
      <c r="D20" s="87">
        <v>0.92</v>
      </c>
      <c r="E20" s="87">
        <v>1.5</v>
      </c>
      <c r="F20" s="215">
        <v>2.8</v>
      </c>
    </row>
    <row r="21" spans="1:6" x14ac:dyDescent="0.2">
      <c r="A21" s="214">
        <v>7</v>
      </c>
      <c r="B21" s="87">
        <v>19</v>
      </c>
      <c r="C21" s="217">
        <v>0.3</v>
      </c>
      <c r="D21" s="87">
        <v>0.86</v>
      </c>
      <c r="E21" s="87">
        <v>1.4</v>
      </c>
      <c r="F21" s="215">
        <v>2.7</v>
      </c>
    </row>
    <row r="22" spans="1:6" x14ac:dyDescent="0.2">
      <c r="A22" s="214">
        <v>7</v>
      </c>
      <c r="B22" s="87">
        <v>20</v>
      </c>
      <c r="C22" s="183">
        <v>0.26</v>
      </c>
      <c r="D22" s="183">
        <v>0.79</v>
      </c>
      <c r="E22" s="183">
        <v>1.4</v>
      </c>
      <c r="F22" s="219">
        <v>2.6</v>
      </c>
    </row>
    <row r="23" spans="1:6" x14ac:dyDescent="0.2">
      <c r="A23" s="214">
        <v>7</v>
      </c>
      <c r="B23" s="87">
        <v>21</v>
      </c>
      <c r="C23" s="87">
        <v>0.23</v>
      </c>
      <c r="D23" s="217">
        <v>0.73</v>
      </c>
      <c r="E23" s="87">
        <v>1.3</v>
      </c>
      <c r="F23" s="215">
        <v>2.5</v>
      </c>
    </row>
    <row r="24" spans="1:6" x14ac:dyDescent="0.2">
      <c r="A24" s="214">
        <v>7</v>
      </c>
      <c r="B24" s="87">
        <v>22</v>
      </c>
      <c r="C24" s="87">
        <v>0.22</v>
      </c>
      <c r="D24" s="217">
        <v>0.7</v>
      </c>
      <c r="E24" s="87">
        <v>1.2</v>
      </c>
      <c r="F24" s="215">
        <v>2.4</v>
      </c>
    </row>
    <row r="25" spans="1:6" x14ac:dyDescent="0.2">
      <c r="A25" s="214">
        <v>7</v>
      </c>
      <c r="B25" s="87">
        <v>23</v>
      </c>
      <c r="C25" s="87">
        <v>0.19</v>
      </c>
      <c r="D25" s="87">
        <v>0.64</v>
      </c>
      <c r="E25" s="87">
        <v>1.2</v>
      </c>
      <c r="F25" s="216">
        <v>2.2999999999999998</v>
      </c>
    </row>
    <row r="26" spans="1:6" x14ac:dyDescent="0.2">
      <c r="A26" s="214">
        <v>7</v>
      </c>
      <c r="B26" s="87">
        <v>24</v>
      </c>
      <c r="C26" s="87">
        <v>0.15</v>
      </c>
      <c r="D26" s="87">
        <v>0.56000000000000005</v>
      </c>
      <c r="E26" s="87">
        <v>1.1000000000000001</v>
      </c>
      <c r="F26" s="215">
        <v>2.2000000000000002</v>
      </c>
    </row>
    <row r="27" spans="1:6" x14ac:dyDescent="0.2">
      <c r="A27" s="214">
        <v>7</v>
      </c>
      <c r="B27" s="87">
        <v>25</v>
      </c>
      <c r="C27" s="87">
        <v>0.15</v>
      </c>
      <c r="D27" s="87">
        <v>0.55000000000000004</v>
      </c>
      <c r="E27" s="218">
        <v>1</v>
      </c>
      <c r="F27" s="215">
        <v>2.1</v>
      </c>
    </row>
    <row r="28" spans="1:6" x14ac:dyDescent="0.2">
      <c r="A28" s="214">
        <v>7</v>
      </c>
      <c r="B28" s="87">
        <v>26</v>
      </c>
      <c r="C28" s="87">
        <v>0.13</v>
      </c>
      <c r="D28" s="217">
        <v>0.51</v>
      </c>
      <c r="E28" s="217">
        <v>0.97</v>
      </c>
      <c r="F28" s="216">
        <v>2</v>
      </c>
    </row>
    <row r="29" spans="1:6" x14ac:dyDescent="0.2">
      <c r="A29" s="214">
        <v>7</v>
      </c>
      <c r="B29" s="87">
        <v>27</v>
      </c>
      <c r="C29" s="87">
        <v>0.11</v>
      </c>
      <c r="D29" s="87">
        <v>0.47</v>
      </c>
      <c r="E29" s="87">
        <v>0.91</v>
      </c>
      <c r="F29" s="215">
        <v>1.9</v>
      </c>
    </row>
    <row r="30" spans="1:6" x14ac:dyDescent="0.2">
      <c r="A30" s="214">
        <v>7</v>
      </c>
      <c r="B30" s="87">
        <v>28</v>
      </c>
      <c r="C30" s="217">
        <v>0.1</v>
      </c>
      <c r="D30" s="87">
        <v>0.44</v>
      </c>
      <c r="E30" s="217">
        <v>0.86</v>
      </c>
      <c r="F30" s="215">
        <v>1.9</v>
      </c>
    </row>
    <row r="31" spans="1:6" x14ac:dyDescent="0.2">
      <c r="A31" s="214">
        <v>7</v>
      </c>
      <c r="B31" s="87">
        <v>29</v>
      </c>
      <c r="C31" s="87">
        <v>8.6999999999999994E-2</v>
      </c>
      <c r="D31" s="217">
        <v>0.4</v>
      </c>
      <c r="E31" s="87">
        <v>0.82</v>
      </c>
      <c r="F31" s="215">
        <v>1.8</v>
      </c>
    </row>
    <row r="32" spans="1:6" x14ac:dyDescent="0.2">
      <c r="A32" s="220">
        <v>7</v>
      </c>
      <c r="B32" s="221">
        <v>30</v>
      </c>
      <c r="C32" s="221">
        <v>7.4999999999999997E-2</v>
      </c>
      <c r="D32" s="221">
        <v>0.37</v>
      </c>
      <c r="E32" s="221">
        <v>0.77</v>
      </c>
      <c r="F32" s="222">
        <v>1.7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C2092-E589-4C5F-95BA-DBCD69B9D98F}">
  <sheetPr>
    <pageSetUpPr fitToPage="1"/>
  </sheetPr>
  <dimension ref="A1:AF99"/>
  <sheetViews>
    <sheetView workbookViewId="0"/>
  </sheetViews>
  <sheetFormatPr baseColWidth="10" defaultColWidth="8.83203125" defaultRowHeight="15" x14ac:dyDescent="0.2"/>
  <cols>
    <col min="1" max="1" width="16" bestFit="1" customWidth="1"/>
    <col min="2" max="32" width="5.6640625" customWidth="1"/>
  </cols>
  <sheetData>
    <row r="1" spans="1:32" x14ac:dyDescent="0.2">
      <c r="A1" t="s">
        <v>584</v>
      </c>
    </row>
    <row r="2" spans="1:32" x14ac:dyDescent="0.2">
      <c r="A2" s="227"/>
      <c r="B2" s="446" t="s">
        <v>16</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row>
    <row r="3" spans="1:32" x14ac:dyDescent="0.2">
      <c r="A3" s="227" t="s">
        <v>620</v>
      </c>
      <c r="B3" s="82">
        <v>6</v>
      </c>
      <c r="C3" s="82">
        <v>6.1</v>
      </c>
      <c r="D3" s="82">
        <v>6.2</v>
      </c>
      <c r="E3" s="82">
        <v>6.3</v>
      </c>
      <c r="F3" s="82">
        <v>6.4</v>
      </c>
      <c r="G3" s="82">
        <v>6.5</v>
      </c>
      <c r="H3" s="82">
        <v>6.6</v>
      </c>
      <c r="I3" s="82">
        <v>6.7</v>
      </c>
      <c r="J3" s="82">
        <v>6.8</v>
      </c>
      <c r="K3" s="82">
        <v>6.9</v>
      </c>
      <c r="L3" s="82">
        <v>7</v>
      </c>
      <c r="M3" s="82">
        <v>7.1</v>
      </c>
      <c r="N3" s="82">
        <v>7.2</v>
      </c>
      <c r="O3" s="82">
        <v>7.3</v>
      </c>
      <c r="P3" s="82">
        <v>7.4</v>
      </c>
      <c r="Q3" s="82">
        <v>7.4999999999999902</v>
      </c>
      <c r="R3" s="82">
        <v>7.5999999999999899</v>
      </c>
      <c r="S3" s="82">
        <v>7.6999999999999904</v>
      </c>
      <c r="T3" s="82">
        <v>7.7999999999999901</v>
      </c>
      <c r="U3" s="82">
        <v>7.8999999999999897</v>
      </c>
      <c r="V3" s="82">
        <v>7.9999999999999902</v>
      </c>
      <c r="W3" s="82">
        <v>8.0999999999999908</v>
      </c>
      <c r="X3" s="82">
        <v>8.1999999999999904</v>
      </c>
      <c r="Y3" s="82">
        <v>8.2999999999999901</v>
      </c>
      <c r="Z3" s="82">
        <v>8.3999999999999897</v>
      </c>
      <c r="AA3" s="82">
        <v>8.4999999999999893</v>
      </c>
      <c r="AB3" s="82">
        <v>8.5999999999999908</v>
      </c>
      <c r="AC3" s="82">
        <v>8.6999999999999904</v>
      </c>
      <c r="AD3" s="82">
        <v>8.7999999999999901</v>
      </c>
      <c r="AE3" s="82">
        <v>8.8999999999999897</v>
      </c>
      <c r="AF3" s="82">
        <v>8.9999999999999893</v>
      </c>
    </row>
    <row r="4" spans="1:32" x14ac:dyDescent="0.2">
      <c r="A4" s="228">
        <v>10</v>
      </c>
      <c r="B4" s="18">
        <f>$L$4*((0.0278/(1+POWER(10,7.688-B3))+(1.1994/(1+POWER(10,B3-7.688)))))</f>
        <v>0.87013018384583685</v>
      </c>
      <c r="C4" s="18">
        <f t="shared" ref="C4:M4" si="0">$L$4*((0.0278/(1+POWER(10,7.688-C3))+(1.1994/(1+POWER(10,C3-7.688)))))</f>
        <v>0.86573177556824443</v>
      </c>
      <c r="D4" s="18">
        <f t="shared" si="0"/>
        <v>0.8602588472187559</v>
      </c>
      <c r="E4" s="18">
        <f t="shared" si="0"/>
        <v>0.85346881019716858</v>
      </c>
      <c r="F4" s="18">
        <f t="shared" si="0"/>
        <v>0.84507523174545118</v>
      </c>
      <c r="G4" s="18">
        <f t="shared" si="0"/>
        <v>0.83474587873565276</v>
      </c>
      <c r="H4" s="18">
        <f t="shared" si="0"/>
        <v>0.82210428647867673</v>
      </c>
      <c r="I4" s="18">
        <f t="shared" si="0"/>
        <v>0.80673696073486034</v>
      </c>
      <c r="J4" s="18">
        <f t="shared" si="0"/>
        <v>0.78820876862955269</v>
      </c>
      <c r="K4" s="18">
        <f t="shared" si="0"/>
        <v>0.76608918140689908</v>
      </c>
      <c r="L4" s="9">
        <v>0.74</v>
      </c>
      <c r="M4" s="18">
        <f t="shared" si="0"/>
        <v>0.70962467166969379</v>
      </c>
      <c r="N4" s="18">
        <f t="shared" ref="N4" si="1">$L$4*((0.0278/(1+POWER(10,7.688-N3))+(1.1994/(1+POWER(10,N3-7.688)))))</f>
        <v>0.67485643975779508</v>
      </c>
      <c r="O4" s="18">
        <f t="shared" ref="O4" si="2">$L$4*((0.0278/(1+POWER(10,7.688-O3))+(1.1994/(1+POWER(10,O3-7.688)))))</f>
        <v>0.63577685512318116</v>
      </c>
      <c r="P4" s="18">
        <f t="shared" ref="P4" si="3">$L$4*((0.0278/(1+POWER(10,7.688-P3))+(1.1994/(1+POWER(10,P3-7.688)))))</f>
        <v>0.59275231291858943</v>
      </c>
      <c r="Q4" s="18">
        <f t="shared" ref="Q4" si="4">$L$4*((0.0278/(1+POWER(10,7.688-Q3))+(1.1994/(1+POWER(10,Q3-7.688)))))</f>
        <v>0.54645207526572126</v>
      </c>
      <c r="R4" s="18">
        <f t="shared" ref="R4" si="5">$L$4*((0.0278/(1+POWER(10,7.688-R3))+(1.1994/(1+POWER(10,R3-7.688)))))</f>
        <v>0.49783304451382826</v>
      </c>
      <c r="S4" s="18">
        <f t="shared" ref="S4" si="6">$L$4*((0.0278/(1+POWER(10,7.688-S3))+(1.1994/(1+POWER(10,S3-7.688)))))</f>
        <v>0.44807546769942058</v>
      </c>
      <c r="T4" s="18">
        <f t="shared" ref="T4" si="7">$L$4*((0.0278/(1+POWER(10,7.688-T3))+(1.1994/(1+POWER(10,T3-7.688)))))</f>
        <v>0.39847522183308315</v>
      </c>
      <c r="U4" s="18">
        <f t="shared" ref="U4" si="8">$L$4*((0.0278/(1+POWER(10,7.688-U3))+(1.1994/(1+POWER(10,U3-7.688)))))</f>
        <v>0.35031197193065794</v>
      </c>
      <c r="V4" s="18">
        <f t="shared" ref="V4" si="9">$L$4*((0.0278/(1+POWER(10,7.688-V3))+(1.1994/(1+POWER(10,V3-7.688)))))</f>
        <v>0.30472077649464274</v>
      </c>
      <c r="W4" s="18">
        <f t="shared" ref="W4" si="10">$L$4*((0.0278/(1+POWER(10,7.688-W3))+(1.1994/(1+POWER(10,W3-7.688)))))</f>
        <v>0.26259350426332573</v>
      </c>
      <c r="X4" s="18">
        <f t="shared" ref="X4" si="11">$L$4*((0.0278/(1+POWER(10,7.688-X3))+(1.1994/(1+POWER(10,X3-7.688)))))</f>
        <v>0.22452634192753682</v>
      </c>
      <c r="Y4" s="18">
        <f t="shared" ref="Y4" si="12">$L$4*((0.0278/(1+POWER(10,7.688-Y3))+(1.1994/(1+POWER(10,Y3-7.688)))))</f>
        <v>0.19081566273641773</v>
      </c>
      <c r="Z4" s="18">
        <f t="shared" ref="Z4" si="13">$L$4*((0.0278/(1+POWER(10,7.688-Z3))+(1.1994/(1+POWER(10,Z3-7.688)))))</f>
        <v>0.16149261669030512</v>
      </c>
      <c r="AA4" s="18">
        <f t="shared" ref="AA4" si="14">$L$4*((0.0278/(1+POWER(10,7.688-AA3))+(1.1994/(1+POWER(10,AA3-7.688)))))</f>
        <v>0.13638072601475837</v>
      </c>
      <c r="AB4" s="18">
        <f t="shared" ref="AB4" si="15">$L$4*((0.0278/(1+POWER(10,7.688-AB3))+(1.1994/(1+POWER(10,AB3-7.688)))))</f>
        <v>0.11516077097046282</v>
      </c>
      <c r="AC4" s="26">
        <f t="shared" ref="AC4" si="16">$L$4*((0.0278/(1+POWER(10,7.688-AC3))+(1.1994/(1+POWER(10,AC3-7.688)))))</f>
        <v>9.7431173173294888E-2</v>
      </c>
      <c r="AD4" s="26">
        <f t="shared" ref="AD4" si="17">$L$4*((0.0278/(1+POWER(10,7.688-AD3))+(1.1994/(1+POWER(10,AD3-7.688)))))</f>
        <v>8.2757237842794054E-2</v>
      </c>
      <c r="AE4" s="26">
        <f t="shared" ref="AE4" si="18">$L$4*((0.0278/(1+POWER(10,7.688-AE3))+(1.1994/(1+POWER(10,AE3-7.688)))))</f>
        <v>7.070708292600382E-2</v>
      </c>
      <c r="AF4" s="26">
        <f t="shared" ref="AF4" si="19">$L$4*((0.0278/(1+POWER(10,7.688-AF3))+(1.1994/(1+POWER(10,AF3-7.688)))))</f>
        <v>6.0875051463714018E-2</v>
      </c>
    </row>
    <row r="5" spans="1:32" x14ac:dyDescent="0.2">
      <c r="A5" s="228">
        <v>11</v>
      </c>
      <c r="B5" s="18">
        <f>$L$5*((0.0278/(1+POWER(10,7.688-B3))+(1.1994/(1+POWER(10,B3-7.688)))))</f>
        <v>0.8113376038562532</v>
      </c>
      <c r="C5" s="18">
        <f t="shared" ref="C5:AF5" si="20">$L$5*((0.0278/(1+POWER(10,7.688-C3))+(1.1994/(1+POWER(10,C3-7.688)))))</f>
        <v>0.80723638532714681</v>
      </c>
      <c r="D5" s="18">
        <f t="shared" si="20"/>
        <v>0.80213324943370479</v>
      </c>
      <c r="E5" s="18">
        <f t="shared" si="20"/>
        <v>0.7958019986973599</v>
      </c>
      <c r="F5" s="18">
        <f t="shared" si="20"/>
        <v>0.78797555392481256</v>
      </c>
      <c r="G5" s="18">
        <f t="shared" si="20"/>
        <v>0.77834413017243287</v>
      </c>
      <c r="H5" s="18">
        <f t="shared" si="20"/>
        <v>0.76655669955444172</v>
      </c>
      <c r="I5" s="18">
        <f t="shared" si="20"/>
        <v>0.75222770663115357</v>
      </c>
      <c r="J5" s="18">
        <f t="shared" si="20"/>
        <v>0.73495141939782616</v>
      </c>
      <c r="K5" s="18">
        <f t="shared" si="20"/>
        <v>0.71432639887940585</v>
      </c>
      <c r="L5" s="9">
        <v>0.69</v>
      </c>
      <c r="M5" s="18">
        <f t="shared" si="20"/>
        <v>0.66167705871903881</v>
      </c>
      <c r="N5" s="18">
        <f t="shared" si="20"/>
        <v>0.62925803166605221</v>
      </c>
      <c r="O5" s="18">
        <f t="shared" si="20"/>
        <v>0.5928189595067499</v>
      </c>
      <c r="P5" s="18">
        <f t="shared" si="20"/>
        <v>0.55270148096463056</v>
      </c>
      <c r="Q5" s="18">
        <f t="shared" si="20"/>
        <v>0.50952963774776716</v>
      </c>
      <c r="R5" s="18">
        <f t="shared" si="20"/>
        <v>0.46419567664127226</v>
      </c>
      <c r="S5" s="18">
        <f t="shared" si="20"/>
        <v>0.41780009826027054</v>
      </c>
      <c r="T5" s="18">
        <f t="shared" si="20"/>
        <v>0.3715512203578748</v>
      </c>
      <c r="U5" s="18">
        <f t="shared" si="20"/>
        <v>0.32664224409750536</v>
      </c>
      <c r="V5" s="18">
        <f t="shared" si="20"/>
        <v>0.2841315348395993</v>
      </c>
      <c r="W5" s="18">
        <f t="shared" si="20"/>
        <v>0.24485069992120909</v>
      </c>
      <c r="X5" s="18">
        <f t="shared" si="20"/>
        <v>0.20935564314864918</v>
      </c>
      <c r="Y5" s="18">
        <f t="shared" si="20"/>
        <v>0.17792271255152461</v>
      </c>
      <c r="Z5" s="18">
        <f t="shared" si="20"/>
        <v>0.15058095340041963</v>
      </c>
      <c r="AA5" s="18">
        <f t="shared" si="20"/>
        <v>0.12716581209484226</v>
      </c>
      <c r="AB5" s="18">
        <f t="shared" si="20"/>
        <v>0.10737963779678289</v>
      </c>
      <c r="AC5" s="26">
        <f t="shared" si="20"/>
        <v>9.0847985796720904E-2</v>
      </c>
      <c r="AD5" s="26">
        <f t="shared" si="20"/>
        <v>7.7165532583145804E-2</v>
      </c>
      <c r="AE5" s="26">
        <f t="shared" si="20"/>
        <v>6.592957732289545E-2</v>
      </c>
      <c r="AF5" s="26">
        <f t="shared" si="20"/>
        <v>5.6761872310760367E-2</v>
      </c>
    </row>
    <row r="6" spans="1:32" x14ac:dyDescent="0.2">
      <c r="A6" s="228">
        <v>12</v>
      </c>
      <c r="B6" s="18">
        <f>$L$6*((0.0278/(1+POWER(10,7.688-B3))+(1.1994/(1+POWER(10,B3-7.688)))))</f>
        <v>0.72902799187083622</v>
      </c>
      <c r="C6" s="18">
        <f t="shared" ref="C6:K6" si="21">$L$6*((0.0278/(1+POWER(10,7.688-C3))+(1.1994/(1+POWER(10,C3-7.688)))))</f>
        <v>0.72534283898961027</v>
      </c>
      <c r="D6" s="18">
        <f t="shared" si="21"/>
        <v>0.72075741253463332</v>
      </c>
      <c r="E6" s="18">
        <f t="shared" si="21"/>
        <v>0.7150684625976278</v>
      </c>
      <c r="F6" s="18">
        <f t="shared" si="21"/>
        <v>0.70803600497591856</v>
      </c>
      <c r="G6" s="18">
        <f t="shared" si="21"/>
        <v>0.69938168218392527</v>
      </c>
      <c r="H6" s="18">
        <f t="shared" si="21"/>
        <v>0.68879007786051294</v>
      </c>
      <c r="I6" s="18">
        <f t="shared" si="21"/>
        <v>0.67591475088596409</v>
      </c>
      <c r="J6" s="18">
        <f t="shared" si="21"/>
        <v>0.66039113047340903</v>
      </c>
      <c r="K6" s="18">
        <f t="shared" si="21"/>
        <v>0.64185850334091543</v>
      </c>
      <c r="L6" s="9">
        <v>0.62</v>
      </c>
      <c r="M6" s="18">
        <f t="shared" ref="M6:AF6" si="22">$L$6*((0.0278/(1+POWER(10,7.688-M3))+(1.1994/(1+POWER(10,M3-7.688)))))</f>
        <v>0.59455040058812181</v>
      </c>
      <c r="N6" s="18">
        <f t="shared" si="22"/>
        <v>0.56542026033761217</v>
      </c>
      <c r="O6" s="18">
        <f t="shared" si="22"/>
        <v>0.5326779056437464</v>
      </c>
      <c r="P6" s="18">
        <f t="shared" si="22"/>
        <v>0.49663031622908843</v>
      </c>
      <c r="Q6" s="18">
        <f t="shared" si="22"/>
        <v>0.45783822522263135</v>
      </c>
      <c r="R6" s="18">
        <f t="shared" si="22"/>
        <v>0.41710336161969391</v>
      </c>
      <c r="S6" s="18">
        <f t="shared" si="22"/>
        <v>0.37541458104546049</v>
      </c>
      <c r="T6" s="18">
        <f t="shared" si="22"/>
        <v>0.33385761829258315</v>
      </c>
      <c r="U6" s="18">
        <f t="shared" si="22"/>
        <v>0.29350462513109182</v>
      </c>
      <c r="V6" s="18">
        <f t="shared" si="22"/>
        <v>0.25530659652253851</v>
      </c>
      <c r="W6" s="18">
        <f t="shared" si="22"/>
        <v>0.22001077384224588</v>
      </c>
      <c r="X6" s="18">
        <f t="shared" si="22"/>
        <v>0.18811666485820652</v>
      </c>
      <c r="Y6" s="18">
        <f t="shared" si="22"/>
        <v>0.15987258229267431</v>
      </c>
      <c r="Z6" s="18">
        <f t="shared" si="22"/>
        <v>0.13530462479457997</v>
      </c>
      <c r="AA6" s="18">
        <f t="shared" si="22"/>
        <v>0.11426493260695972</v>
      </c>
      <c r="AB6" s="26">
        <f t="shared" si="22"/>
        <v>9.6486051353631017E-2</v>
      </c>
      <c r="AC6" s="26">
        <f t="shared" si="22"/>
        <v>8.1631523469517339E-2</v>
      </c>
      <c r="AD6" s="26">
        <f t="shared" si="22"/>
        <v>6.9337145219638255E-2</v>
      </c>
      <c r="AE6" s="26">
        <f t="shared" si="22"/>
        <v>5.924106947854374E-2</v>
      </c>
      <c r="AF6" s="26">
        <f t="shared" si="22"/>
        <v>5.1003421496625255E-2</v>
      </c>
    </row>
    <row r="7" spans="1:32" x14ac:dyDescent="0.2">
      <c r="A7" s="228">
        <v>13</v>
      </c>
      <c r="B7" s="18">
        <f>$L$7*((0.0278/(1+POWER(10,7.688-B3))+(1.1994/(1+POWER(10,B3-7.688)))))</f>
        <v>0.64671837988541936</v>
      </c>
      <c r="C7" s="18">
        <f t="shared" ref="C7:AF7" si="23">$L$7*((0.0278/(1+POWER(10,7.688-C3))+(1.1994/(1+POWER(10,C3-7.688)))))</f>
        <v>0.64344929265207362</v>
      </c>
      <c r="D7" s="18">
        <f t="shared" si="23"/>
        <v>0.63938157563556186</v>
      </c>
      <c r="E7" s="18">
        <f t="shared" si="23"/>
        <v>0.63433492649789569</v>
      </c>
      <c r="F7" s="18">
        <f t="shared" si="23"/>
        <v>0.62809645602702457</v>
      </c>
      <c r="G7" s="18">
        <f t="shared" si="23"/>
        <v>0.62041923419541756</v>
      </c>
      <c r="H7" s="18">
        <f t="shared" si="23"/>
        <v>0.61102345616658416</v>
      </c>
      <c r="I7" s="18">
        <f t="shared" si="23"/>
        <v>0.59960179514077472</v>
      </c>
      <c r="J7" s="18">
        <f t="shared" si="23"/>
        <v>0.5858308415489919</v>
      </c>
      <c r="K7" s="18">
        <f t="shared" si="23"/>
        <v>0.56939060780242501</v>
      </c>
      <c r="L7" s="9">
        <v>0.55000000000000004</v>
      </c>
      <c r="M7" s="18">
        <f t="shared" si="23"/>
        <v>0.52742374245720491</v>
      </c>
      <c r="N7" s="18">
        <f t="shared" si="23"/>
        <v>0.50158248900917213</v>
      </c>
      <c r="O7" s="18">
        <f t="shared" si="23"/>
        <v>0.47253685178074278</v>
      </c>
      <c r="P7" s="18">
        <f t="shared" si="23"/>
        <v>0.44055915149354619</v>
      </c>
      <c r="Q7" s="18">
        <f t="shared" si="23"/>
        <v>0.40614681269749559</v>
      </c>
      <c r="R7" s="18">
        <f t="shared" si="23"/>
        <v>0.37001104659811562</v>
      </c>
      <c r="S7" s="18">
        <f t="shared" si="23"/>
        <v>0.33302906383065045</v>
      </c>
      <c r="T7" s="18">
        <f t="shared" si="23"/>
        <v>0.29616401622729155</v>
      </c>
      <c r="U7" s="18">
        <f t="shared" si="23"/>
        <v>0.26036700616467823</v>
      </c>
      <c r="V7" s="18">
        <f t="shared" si="23"/>
        <v>0.22648165820547772</v>
      </c>
      <c r="W7" s="18">
        <f t="shared" si="23"/>
        <v>0.19517084776328264</v>
      </c>
      <c r="X7" s="18">
        <f t="shared" si="23"/>
        <v>0.16687768656776386</v>
      </c>
      <c r="Y7" s="18">
        <f t="shared" si="23"/>
        <v>0.14182245203382401</v>
      </c>
      <c r="Z7" s="18">
        <f t="shared" si="23"/>
        <v>0.12002829618874031</v>
      </c>
      <c r="AA7" s="18">
        <f t="shared" si="23"/>
        <v>0.10136405311907719</v>
      </c>
      <c r="AB7" s="26">
        <f t="shared" si="23"/>
        <v>8.559246491047913E-2</v>
      </c>
      <c r="AC7" s="26">
        <f t="shared" si="23"/>
        <v>7.2415061142313775E-2</v>
      </c>
      <c r="AD7" s="26">
        <f t="shared" si="23"/>
        <v>6.1508757856130719E-2</v>
      </c>
      <c r="AE7" s="26">
        <f t="shared" si="23"/>
        <v>5.255256163419203E-2</v>
      </c>
      <c r="AF7" s="26">
        <f t="shared" si="23"/>
        <v>4.524497068249015E-2</v>
      </c>
    </row>
    <row r="8" spans="1:32" x14ac:dyDescent="0.2">
      <c r="A8" s="228">
        <v>14</v>
      </c>
      <c r="B8" s="18">
        <f>$L$8*((0.0278/(1+POWER(10,7.688-B3))+(1.1994/(1+POWER(10,B3-7.688)))))</f>
        <v>0.61144283189166915</v>
      </c>
      <c r="C8" s="18">
        <f t="shared" ref="C8:K8" si="24">$L$8*((0.0278/(1+POWER(10,7.688-C3))+(1.1994/(1+POWER(10,C3-7.688)))))</f>
        <v>0.60835205850741503</v>
      </c>
      <c r="D8" s="18">
        <f t="shared" si="24"/>
        <v>0.60450621696453122</v>
      </c>
      <c r="E8" s="18">
        <f t="shared" si="24"/>
        <v>0.59973483959801044</v>
      </c>
      <c r="F8" s="18">
        <f t="shared" si="24"/>
        <v>0.59383664933464142</v>
      </c>
      <c r="G8" s="18">
        <f t="shared" si="24"/>
        <v>0.58657818505748571</v>
      </c>
      <c r="H8" s="18">
        <f t="shared" si="24"/>
        <v>0.57769490401204315</v>
      </c>
      <c r="I8" s="18">
        <f t="shared" si="24"/>
        <v>0.56689624267855054</v>
      </c>
      <c r="J8" s="18">
        <f t="shared" si="24"/>
        <v>0.55387643200995595</v>
      </c>
      <c r="K8" s="18">
        <f t="shared" si="24"/>
        <v>0.5383329382859291</v>
      </c>
      <c r="L8" s="18">
        <v>0.52</v>
      </c>
      <c r="M8" s="18">
        <f t="shared" ref="M8:AF8" si="25">$L$8*((0.0278/(1+POWER(10,7.688-M3))+(1.1994/(1+POWER(10,M3-7.688)))))</f>
        <v>0.49865517468681192</v>
      </c>
      <c r="N8" s="18">
        <f t="shared" si="25"/>
        <v>0.47422344415412632</v>
      </c>
      <c r="O8" s="18">
        <f t="shared" si="25"/>
        <v>0.44676211441088404</v>
      </c>
      <c r="P8" s="18">
        <f t="shared" si="25"/>
        <v>0.41652865232117092</v>
      </c>
      <c r="Q8" s="18">
        <f t="shared" si="25"/>
        <v>0.38399335018672309</v>
      </c>
      <c r="R8" s="18">
        <f t="shared" si="25"/>
        <v>0.34982862587458202</v>
      </c>
      <c r="S8" s="18">
        <f t="shared" si="25"/>
        <v>0.31486384216716046</v>
      </c>
      <c r="T8" s="18">
        <f t="shared" si="25"/>
        <v>0.28000961534216656</v>
      </c>
      <c r="U8" s="18">
        <f t="shared" si="25"/>
        <v>0.2461651694647867</v>
      </c>
      <c r="V8" s="18">
        <f t="shared" si="25"/>
        <v>0.21412811321245165</v>
      </c>
      <c r="W8" s="18">
        <f t="shared" si="25"/>
        <v>0.18452516515801268</v>
      </c>
      <c r="X8" s="18">
        <f t="shared" si="25"/>
        <v>0.15777526730043129</v>
      </c>
      <c r="Y8" s="18">
        <f t="shared" si="25"/>
        <v>0.13408668192288814</v>
      </c>
      <c r="Z8" s="18">
        <f t="shared" si="25"/>
        <v>0.11348129821480901</v>
      </c>
      <c r="AA8" s="26">
        <f t="shared" si="25"/>
        <v>9.5835104767127519E-2</v>
      </c>
      <c r="AB8" s="26">
        <f t="shared" si="25"/>
        <v>8.0923785006271176E-2</v>
      </c>
      <c r="AC8" s="26">
        <f t="shared" si="25"/>
        <v>6.8465148716369384E-2</v>
      </c>
      <c r="AD8" s="26">
        <f t="shared" si="25"/>
        <v>5.8153734700341769E-2</v>
      </c>
      <c r="AE8" s="26">
        <f t="shared" si="25"/>
        <v>4.9686058272327006E-2</v>
      </c>
      <c r="AF8" s="26">
        <f t="shared" si="25"/>
        <v>4.2777063190717959E-2</v>
      </c>
    </row>
    <row r="9" spans="1:32" x14ac:dyDescent="0.2">
      <c r="A9" s="228">
        <v>15</v>
      </c>
      <c r="B9" s="18">
        <f>$L$9*((0.0278/(1+POWER(10,7.688-B3))+(1.1994/(1+POWER(10,B3-7.688)))))</f>
        <v>0.54089173590416884</v>
      </c>
      <c r="C9" s="18">
        <f t="shared" ref="C9:K9" si="26">$L$9*((0.0278/(1+POWER(10,7.688-C3))+(1.1994/(1+POWER(10,C3-7.688)))))</f>
        <v>0.53815759021809795</v>
      </c>
      <c r="D9" s="18">
        <f t="shared" si="26"/>
        <v>0.53475549962246993</v>
      </c>
      <c r="E9" s="18">
        <f t="shared" si="26"/>
        <v>0.53053466579823993</v>
      </c>
      <c r="F9" s="18">
        <f t="shared" si="26"/>
        <v>0.52531703594987511</v>
      </c>
      <c r="G9" s="18">
        <f t="shared" si="26"/>
        <v>0.51889608678162202</v>
      </c>
      <c r="H9" s="18">
        <f t="shared" si="26"/>
        <v>0.51103779970296126</v>
      </c>
      <c r="I9" s="18">
        <f t="shared" si="26"/>
        <v>0.50148513775410242</v>
      </c>
      <c r="J9" s="18">
        <f t="shared" si="26"/>
        <v>0.48996761293188418</v>
      </c>
      <c r="K9" s="18">
        <f t="shared" si="26"/>
        <v>0.47621759925293727</v>
      </c>
      <c r="L9" s="9">
        <v>0.46</v>
      </c>
      <c r="M9" s="18">
        <f t="shared" ref="M9:AF9" si="27">$L$9*((0.0278/(1+POWER(10,7.688-M3))+(1.1994/(1+POWER(10,M3-7.688)))))</f>
        <v>0.44111803914602593</v>
      </c>
      <c r="N9" s="18">
        <f t="shared" si="27"/>
        <v>0.41950535444403481</v>
      </c>
      <c r="O9" s="18">
        <f t="shared" si="27"/>
        <v>0.39521263967116665</v>
      </c>
      <c r="P9" s="18">
        <f t="shared" si="27"/>
        <v>0.36846765397642045</v>
      </c>
      <c r="Q9" s="18">
        <f t="shared" si="27"/>
        <v>0.33968642516517811</v>
      </c>
      <c r="R9" s="18">
        <f t="shared" si="27"/>
        <v>0.30946378442751488</v>
      </c>
      <c r="S9" s="18">
        <f t="shared" si="27"/>
        <v>0.27853339884018036</v>
      </c>
      <c r="T9" s="18">
        <f t="shared" si="27"/>
        <v>0.24770081357191656</v>
      </c>
      <c r="U9" s="18">
        <f t="shared" si="27"/>
        <v>0.21776149606500361</v>
      </c>
      <c r="V9" s="18">
        <f t="shared" si="27"/>
        <v>0.18942102322639953</v>
      </c>
      <c r="W9" s="18">
        <f t="shared" si="27"/>
        <v>0.16323379994747275</v>
      </c>
      <c r="X9" s="18">
        <f t="shared" si="27"/>
        <v>0.13957042876576614</v>
      </c>
      <c r="Y9" s="18">
        <f t="shared" si="27"/>
        <v>0.11861514170101643</v>
      </c>
      <c r="Z9" s="18">
        <f t="shared" si="27"/>
        <v>0.10038730226694643</v>
      </c>
      <c r="AA9" s="26">
        <f t="shared" si="27"/>
        <v>8.4777208063228179E-2</v>
      </c>
      <c r="AB9" s="26">
        <f t="shared" si="27"/>
        <v>7.1586425197855269E-2</v>
      </c>
      <c r="AC9" s="26">
        <f t="shared" si="27"/>
        <v>6.0565323864480609E-2</v>
      </c>
      <c r="AD9" s="26">
        <f t="shared" si="27"/>
        <v>5.1443688388763877E-2</v>
      </c>
      <c r="AE9" s="26">
        <f t="shared" si="27"/>
        <v>4.3953051548596966E-2</v>
      </c>
      <c r="AF9" s="26">
        <f t="shared" si="27"/>
        <v>3.7841248207173578E-2</v>
      </c>
    </row>
    <row r="10" spans="1:32" x14ac:dyDescent="0.2">
      <c r="A10" s="228">
        <v>16</v>
      </c>
      <c r="B10" s="18">
        <f>$L$10*((0.0278/(1+POWER(10,7.688-B3))+(1.1994/(1+POWER(10,B3-7.688)))))</f>
        <v>0.48209915591458524</v>
      </c>
      <c r="C10" s="18">
        <f t="shared" ref="C10:K10" si="28">$L$10*((0.0278/(1+POWER(10,7.688-C3))+(1.1994/(1+POWER(10,C3-7.688)))))</f>
        <v>0.47966219997700027</v>
      </c>
      <c r="D10" s="18">
        <f t="shared" si="28"/>
        <v>0.47662990183741877</v>
      </c>
      <c r="E10" s="18">
        <f t="shared" si="28"/>
        <v>0.47286785429843126</v>
      </c>
      <c r="F10" s="18">
        <f t="shared" si="28"/>
        <v>0.46821735812923643</v>
      </c>
      <c r="G10" s="18">
        <f t="shared" si="28"/>
        <v>0.46249433821840213</v>
      </c>
      <c r="H10" s="18">
        <f t="shared" si="28"/>
        <v>0.45549021277872626</v>
      </c>
      <c r="I10" s="18">
        <f t="shared" si="28"/>
        <v>0.44697588365039559</v>
      </c>
      <c r="J10" s="18">
        <f t="shared" si="28"/>
        <v>0.43671026370015759</v>
      </c>
      <c r="K10" s="18">
        <f t="shared" si="28"/>
        <v>0.42445481672544405</v>
      </c>
      <c r="L10" s="9">
        <v>0.41</v>
      </c>
      <c r="M10" s="18">
        <f t="shared" ref="M10:AF10" si="29">$L$10*((0.0278/(1+POWER(10,7.688-M3))+(1.1994/(1+POWER(10,M3-7.688)))))</f>
        <v>0.3931704261953709</v>
      </c>
      <c r="N10" s="18">
        <f t="shared" si="29"/>
        <v>0.37390694635229188</v>
      </c>
      <c r="O10" s="18">
        <f t="shared" si="29"/>
        <v>0.35225474405473545</v>
      </c>
      <c r="P10" s="18">
        <f t="shared" si="29"/>
        <v>0.3284168220224617</v>
      </c>
      <c r="Q10" s="18">
        <f t="shared" si="29"/>
        <v>0.30276398764722395</v>
      </c>
      <c r="R10" s="18">
        <f t="shared" si="29"/>
        <v>0.27582641655495888</v>
      </c>
      <c r="S10" s="18">
        <f t="shared" si="29"/>
        <v>0.24825802940103031</v>
      </c>
      <c r="T10" s="18">
        <f t="shared" si="29"/>
        <v>0.22077681209670821</v>
      </c>
      <c r="U10" s="18">
        <f t="shared" si="29"/>
        <v>0.19409176823185104</v>
      </c>
      <c r="V10" s="18">
        <f t="shared" si="29"/>
        <v>0.16883178157135609</v>
      </c>
      <c r="W10" s="18">
        <f t="shared" si="29"/>
        <v>0.14549099560535614</v>
      </c>
      <c r="X10" s="18">
        <f t="shared" si="29"/>
        <v>0.1243997299868785</v>
      </c>
      <c r="Y10" s="18">
        <f t="shared" si="29"/>
        <v>0.10572219151612333</v>
      </c>
      <c r="Z10" s="26">
        <f t="shared" si="29"/>
        <v>8.9475638977060942E-2</v>
      </c>
      <c r="AA10" s="26">
        <f t="shared" si="29"/>
        <v>7.5562294143312073E-2</v>
      </c>
      <c r="AB10" s="26">
        <f t="shared" si="29"/>
        <v>6.3805292024175342E-2</v>
      </c>
      <c r="AC10" s="26">
        <f t="shared" si="29"/>
        <v>5.3982136487906625E-2</v>
      </c>
      <c r="AD10" s="26">
        <f t="shared" si="29"/>
        <v>4.585198312911562E-2</v>
      </c>
      <c r="AE10" s="26">
        <f t="shared" si="29"/>
        <v>3.9175545945488596E-2</v>
      </c>
      <c r="AF10" s="26">
        <f t="shared" si="29"/>
        <v>3.3728069054219927E-2</v>
      </c>
    </row>
    <row r="11" spans="1:32" x14ac:dyDescent="0.2">
      <c r="A11" s="228">
        <v>17</v>
      </c>
      <c r="B11" s="18">
        <f>$L$11*((0.0278/(1+POWER(10,7.688-B3))+(1.1994/(1+POWER(10,B3-7.688)))))</f>
        <v>0.43506509192291842</v>
      </c>
      <c r="C11" s="18">
        <f t="shared" ref="C11:K11" si="30">$L$11*((0.0278/(1+POWER(10,7.688-C3))+(1.1994/(1+POWER(10,C3-7.688)))))</f>
        <v>0.43286588778412222</v>
      </c>
      <c r="D11" s="18">
        <f t="shared" si="30"/>
        <v>0.43012942360937795</v>
      </c>
      <c r="E11" s="18">
        <f t="shared" si="30"/>
        <v>0.42673440509858429</v>
      </c>
      <c r="F11" s="18">
        <f t="shared" si="30"/>
        <v>0.42253761587272559</v>
      </c>
      <c r="G11" s="18">
        <f t="shared" si="30"/>
        <v>0.41737293936782638</v>
      </c>
      <c r="H11" s="18">
        <f t="shared" si="30"/>
        <v>0.41105214323933836</v>
      </c>
      <c r="I11" s="18">
        <f t="shared" si="30"/>
        <v>0.40336848036743017</v>
      </c>
      <c r="J11" s="18">
        <f t="shared" si="30"/>
        <v>0.39410438431477635</v>
      </c>
      <c r="K11" s="18">
        <f t="shared" si="30"/>
        <v>0.38304459070344954</v>
      </c>
      <c r="L11" s="9">
        <v>0.37</v>
      </c>
      <c r="M11" s="18">
        <f t="shared" ref="M11:AF11" si="31">$L$11*((0.0278/(1+POWER(10,7.688-M3))+(1.1994/(1+POWER(10,M3-7.688)))))</f>
        <v>0.35481233583484689</v>
      </c>
      <c r="N11" s="18">
        <f t="shared" si="31"/>
        <v>0.33742821987889754</v>
      </c>
      <c r="O11" s="18">
        <f t="shared" si="31"/>
        <v>0.31788842756159058</v>
      </c>
      <c r="P11" s="18">
        <f t="shared" si="31"/>
        <v>0.29637615645929472</v>
      </c>
      <c r="Q11" s="18">
        <f t="shared" si="31"/>
        <v>0.27322603763286063</v>
      </c>
      <c r="R11" s="18">
        <f t="shared" si="31"/>
        <v>0.24891652225691413</v>
      </c>
      <c r="S11" s="18">
        <f t="shared" si="31"/>
        <v>0.22403773384971029</v>
      </c>
      <c r="T11" s="18">
        <f t="shared" si="31"/>
        <v>0.19923761091654157</v>
      </c>
      <c r="U11" s="18">
        <f t="shared" si="31"/>
        <v>0.17515598596532897</v>
      </c>
      <c r="V11" s="18">
        <f t="shared" si="31"/>
        <v>0.15236038824732137</v>
      </c>
      <c r="W11" s="18">
        <f t="shared" si="31"/>
        <v>0.13129675213166286</v>
      </c>
      <c r="X11" s="18">
        <f t="shared" si="31"/>
        <v>0.11226317096376841</v>
      </c>
      <c r="Y11" s="18">
        <f t="shared" si="31"/>
        <v>9.5407831368208865E-2</v>
      </c>
      <c r="Z11" s="26">
        <f t="shared" si="31"/>
        <v>8.0746308345152562E-2</v>
      </c>
      <c r="AA11" s="26">
        <f t="shared" si="31"/>
        <v>6.8190363007379184E-2</v>
      </c>
      <c r="AB11" s="26">
        <f t="shared" si="31"/>
        <v>5.7580385485231408E-2</v>
      </c>
      <c r="AC11" s="26">
        <f t="shared" si="31"/>
        <v>4.8715586586647444E-2</v>
      </c>
      <c r="AD11" s="26">
        <f t="shared" si="31"/>
        <v>4.1378618921397027E-2</v>
      </c>
      <c r="AE11" s="26">
        <f t="shared" si="31"/>
        <v>3.535354146300191E-2</v>
      </c>
      <c r="AF11" s="26">
        <f t="shared" si="31"/>
        <v>3.0437525731857009E-2</v>
      </c>
    </row>
    <row r="12" spans="1:32" x14ac:dyDescent="0.2">
      <c r="A12" s="228">
        <v>18</v>
      </c>
      <c r="B12" s="18">
        <f>$L$12*((0.0278/(1+POWER(10,7.688-B3))+(1.1994/(1+POWER(10,B3-7.688)))))</f>
        <v>0.3880310279312516</v>
      </c>
      <c r="C12" s="18">
        <f t="shared" ref="C12:K12" si="32">$L$12*((0.0278/(1+POWER(10,7.688-C3))+(1.1994/(1+POWER(10,C3-7.688)))))</f>
        <v>0.38606957559124416</v>
      </c>
      <c r="D12" s="18">
        <f t="shared" si="32"/>
        <v>0.38362894538133713</v>
      </c>
      <c r="E12" s="18">
        <f t="shared" si="32"/>
        <v>0.38060095589873738</v>
      </c>
      <c r="F12" s="18">
        <f t="shared" si="32"/>
        <v>0.37685787361621476</v>
      </c>
      <c r="G12" s="18">
        <f t="shared" si="32"/>
        <v>0.37225154051725057</v>
      </c>
      <c r="H12" s="18">
        <f t="shared" si="32"/>
        <v>0.36661407369995047</v>
      </c>
      <c r="I12" s="18">
        <f t="shared" si="32"/>
        <v>0.35976107708446481</v>
      </c>
      <c r="J12" s="18">
        <f t="shared" si="32"/>
        <v>0.35149850492939516</v>
      </c>
      <c r="K12" s="18">
        <f t="shared" si="32"/>
        <v>0.34163436468145497</v>
      </c>
      <c r="L12" s="9">
        <v>0.33</v>
      </c>
      <c r="M12" s="18">
        <f t="shared" ref="M12:AF12" si="33">$L$12*((0.0278/(1+POWER(10,7.688-M3))+(1.1994/(1+POWER(10,M3-7.688)))))</f>
        <v>0.31645424547432294</v>
      </c>
      <c r="N12" s="18">
        <f t="shared" si="33"/>
        <v>0.30094949340550325</v>
      </c>
      <c r="O12" s="18">
        <f t="shared" si="33"/>
        <v>0.28352211106844566</v>
      </c>
      <c r="P12" s="18">
        <f t="shared" si="33"/>
        <v>0.26433549089612773</v>
      </c>
      <c r="Q12" s="18">
        <f t="shared" si="33"/>
        <v>0.24368808761849736</v>
      </c>
      <c r="R12" s="18">
        <f t="shared" si="33"/>
        <v>0.22200662795886936</v>
      </c>
      <c r="S12" s="18">
        <f t="shared" si="33"/>
        <v>0.19981743829839027</v>
      </c>
      <c r="T12" s="18">
        <f t="shared" si="33"/>
        <v>0.17769840973637493</v>
      </c>
      <c r="U12" s="18">
        <f t="shared" si="33"/>
        <v>0.15622020369880693</v>
      </c>
      <c r="V12" s="18">
        <f t="shared" si="33"/>
        <v>0.13588899492328663</v>
      </c>
      <c r="W12" s="18">
        <f t="shared" si="33"/>
        <v>0.11710250865796959</v>
      </c>
      <c r="X12" s="18">
        <f t="shared" si="33"/>
        <v>0.10012661194065832</v>
      </c>
      <c r="Y12" s="26">
        <f t="shared" si="33"/>
        <v>8.5093471220294398E-2</v>
      </c>
      <c r="Z12" s="26">
        <f t="shared" si="33"/>
        <v>7.2016977713244182E-2</v>
      </c>
      <c r="AA12" s="26">
        <f t="shared" si="33"/>
        <v>6.081843187144631E-2</v>
      </c>
      <c r="AB12" s="26">
        <f t="shared" si="33"/>
        <v>5.1355478946287475E-2</v>
      </c>
      <c r="AC12" s="26">
        <f t="shared" si="33"/>
        <v>4.3449036685388263E-2</v>
      </c>
      <c r="AD12" s="26">
        <f t="shared" si="33"/>
        <v>3.6905254713678434E-2</v>
      </c>
      <c r="AE12" s="26">
        <f t="shared" si="33"/>
        <v>3.1531536980515217E-2</v>
      </c>
      <c r="AF12" s="26">
        <f t="shared" si="33"/>
        <v>2.7146982409494091E-2</v>
      </c>
    </row>
    <row r="13" spans="1:32" x14ac:dyDescent="0.2">
      <c r="A13" s="228">
        <v>19</v>
      </c>
      <c r="B13" s="18">
        <f>$L$13*((0.0278/(1+POWER(10,7.688-B3))+(1.1994/(1+POWER(10,B3-7.688)))))</f>
        <v>0.35275547993750139</v>
      </c>
      <c r="C13" s="18">
        <f t="shared" ref="C13:K13" si="34">$L$13*((0.0278/(1+POWER(10,7.688-C3))+(1.1994/(1+POWER(10,C3-7.688)))))</f>
        <v>0.35097234144658557</v>
      </c>
      <c r="D13" s="18">
        <f t="shared" si="34"/>
        <v>0.34875358671030643</v>
      </c>
      <c r="E13" s="18">
        <f t="shared" si="34"/>
        <v>0.34600086899885213</v>
      </c>
      <c r="F13" s="18">
        <f t="shared" si="34"/>
        <v>0.34259806692383155</v>
      </c>
      <c r="G13" s="18">
        <f t="shared" si="34"/>
        <v>0.33841049137931867</v>
      </c>
      <c r="H13" s="18">
        <f t="shared" si="34"/>
        <v>0.33328552154540947</v>
      </c>
      <c r="I13" s="18">
        <f t="shared" si="34"/>
        <v>0.32705552462224069</v>
      </c>
      <c r="J13" s="18">
        <f t="shared" si="34"/>
        <v>0.31954409539035922</v>
      </c>
      <c r="K13" s="18">
        <f t="shared" si="34"/>
        <v>0.31057669516495906</v>
      </c>
      <c r="L13" s="18">
        <v>0.3</v>
      </c>
      <c r="M13" s="18">
        <f t="shared" ref="M13:AF13" si="35">$L$13*((0.0278/(1+POWER(10,7.688-M3))+(1.1994/(1+POWER(10,M3-7.688)))))</f>
        <v>0.28768567770392994</v>
      </c>
      <c r="N13" s="18">
        <f t="shared" si="35"/>
        <v>0.2735904485504575</v>
      </c>
      <c r="O13" s="18">
        <f t="shared" si="35"/>
        <v>0.25774737369858691</v>
      </c>
      <c r="P13" s="18">
        <f t="shared" si="35"/>
        <v>0.24030499172375244</v>
      </c>
      <c r="Q13" s="18">
        <f t="shared" si="35"/>
        <v>0.22153462510772484</v>
      </c>
      <c r="R13" s="18">
        <f t="shared" si="35"/>
        <v>0.20182420723533576</v>
      </c>
      <c r="S13" s="18">
        <f t="shared" si="35"/>
        <v>0.18165221663490025</v>
      </c>
      <c r="T13" s="18">
        <f t="shared" si="35"/>
        <v>0.16154400885124992</v>
      </c>
      <c r="U13" s="18">
        <f t="shared" si="35"/>
        <v>0.14201836699891537</v>
      </c>
      <c r="V13" s="18">
        <f t="shared" si="35"/>
        <v>0.12353544993026055</v>
      </c>
      <c r="W13" s="18">
        <f t="shared" si="35"/>
        <v>0.10645682605269961</v>
      </c>
      <c r="X13" s="26">
        <f t="shared" si="35"/>
        <v>9.1024192673325732E-2</v>
      </c>
      <c r="Y13" s="26">
        <f t="shared" si="35"/>
        <v>7.7357701109358537E-2</v>
      </c>
      <c r="Z13" s="26">
        <f t="shared" si="35"/>
        <v>6.5469979739312886E-2</v>
      </c>
      <c r="AA13" s="26">
        <f t="shared" si="35"/>
        <v>5.5289483519496641E-2</v>
      </c>
      <c r="AB13" s="26">
        <f t="shared" si="35"/>
        <v>4.6686799042079521E-2</v>
      </c>
      <c r="AC13" s="26">
        <f t="shared" si="35"/>
        <v>3.9499124259443873E-2</v>
      </c>
      <c r="AD13" s="26">
        <f t="shared" si="35"/>
        <v>3.3550231557889477E-2</v>
      </c>
      <c r="AE13" s="26">
        <f t="shared" si="35"/>
        <v>2.8665033618650193E-2</v>
      </c>
      <c r="AF13" s="26">
        <f t="shared" si="35"/>
        <v>2.4679074917721897E-2</v>
      </c>
    </row>
    <row r="14" spans="1:32" x14ac:dyDescent="0.2">
      <c r="A14" s="228">
        <v>20</v>
      </c>
      <c r="B14" s="18">
        <f>$L$14*((0.0278/(1+POWER(10,7.688-B3))+(1.1994/(1+POWER(10,B3-7.688)))))</f>
        <v>0.30572141594583457</v>
      </c>
      <c r="C14" s="18">
        <f t="shared" ref="C14:K14" si="36">$L$14*((0.0278/(1+POWER(10,7.688-C3))+(1.1994/(1+POWER(10,C3-7.688)))))</f>
        <v>0.30417602925370751</v>
      </c>
      <c r="D14" s="18">
        <f t="shared" si="36"/>
        <v>0.30225310848226561</v>
      </c>
      <c r="E14" s="18">
        <f t="shared" si="36"/>
        <v>0.29986741979900522</v>
      </c>
      <c r="F14" s="18">
        <f t="shared" si="36"/>
        <v>0.29691832466732071</v>
      </c>
      <c r="G14" s="18">
        <f t="shared" si="36"/>
        <v>0.29328909252874286</v>
      </c>
      <c r="H14" s="18">
        <f t="shared" si="36"/>
        <v>0.28884745200602158</v>
      </c>
      <c r="I14" s="18">
        <f t="shared" si="36"/>
        <v>0.28344812133927527</v>
      </c>
      <c r="J14" s="18">
        <f t="shared" si="36"/>
        <v>0.27693821600497798</v>
      </c>
      <c r="K14" s="18">
        <f t="shared" si="36"/>
        <v>0.26916646914296455</v>
      </c>
      <c r="L14" s="9">
        <v>0.26</v>
      </c>
      <c r="M14" s="18">
        <f t="shared" ref="M14:AF14" si="37">$L$14*((0.0278/(1+POWER(10,7.688-M3))+(1.1994/(1+POWER(10,M3-7.688)))))</f>
        <v>0.24932758734340596</v>
      </c>
      <c r="N14" s="18">
        <f t="shared" si="37"/>
        <v>0.23711172207706316</v>
      </c>
      <c r="O14" s="18">
        <f t="shared" si="37"/>
        <v>0.22338105720544202</v>
      </c>
      <c r="P14" s="18">
        <f t="shared" si="37"/>
        <v>0.20826432616058546</v>
      </c>
      <c r="Q14" s="18">
        <f t="shared" si="37"/>
        <v>0.19199667509336155</v>
      </c>
      <c r="R14" s="18">
        <f t="shared" si="37"/>
        <v>0.17491431293729101</v>
      </c>
      <c r="S14" s="18">
        <f t="shared" si="37"/>
        <v>0.15743192108358023</v>
      </c>
      <c r="T14" s="18">
        <f t="shared" si="37"/>
        <v>0.14000480767108328</v>
      </c>
      <c r="U14" s="18">
        <f t="shared" si="37"/>
        <v>0.12308258473239335</v>
      </c>
      <c r="V14" s="436">
        <f t="shared" si="37"/>
        <v>0.10706405660622582</v>
      </c>
      <c r="W14" s="26">
        <f t="shared" si="37"/>
        <v>9.2262582579006339E-2</v>
      </c>
      <c r="X14" s="26">
        <f t="shared" si="37"/>
        <v>7.8887633650215644E-2</v>
      </c>
      <c r="Y14" s="26">
        <f t="shared" si="37"/>
        <v>6.704334096144407E-2</v>
      </c>
      <c r="Z14" s="26">
        <f t="shared" si="37"/>
        <v>5.6740649107404506E-2</v>
      </c>
      <c r="AA14" s="26">
        <f t="shared" si="37"/>
        <v>4.7917552383563759E-2</v>
      </c>
      <c r="AB14" s="26">
        <f t="shared" si="37"/>
        <v>4.0461892503135588E-2</v>
      </c>
      <c r="AC14" s="26">
        <f t="shared" si="37"/>
        <v>3.4232574358184692E-2</v>
      </c>
      <c r="AD14" s="26">
        <f t="shared" si="37"/>
        <v>2.9076867350170885E-2</v>
      </c>
      <c r="AE14" s="26">
        <f t="shared" si="37"/>
        <v>2.4843029136163503E-2</v>
      </c>
      <c r="AF14" s="26">
        <f t="shared" si="37"/>
        <v>2.138853159535898E-2</v>
      </c>
    </row>
    <row r="15" spans="1:32" x14ac:dyDescent="0.2">
      <c r="A15" s="228">
        <v>21</v>
      </c>
      <c r="B15" s="18">
        <f>$L$15*((0.0278/(1+POWER(10,7.688-B3))+(1.1994/(1+POWER(10,B3-7.688)))))</f>
        <v>0.27044586795208442</v>
      </c>
      <c r="C15" s="18">
        <f t="shared" ref="C15:K15" si="38">$L$15*((0.0278/(1+POWER(10,7.688-C3))+(1.1994/(1+POWER(10,C3-7.688)))))</f>
        <v>0.26907879510904897</v>
      </c>
      <c r="D15" s="18">
        <f t="shared" si="38"/>
        <v>0.26737774981123497</v>
      </c>
      <c r="E15" s="18">
        <f t="shared" si="38"/>
        <v>0.26526733289911997</v>
      </c>
      <c r="F15" s="18">
        <f t="shared" si="38"/>
        <v>0.26265851797493756</v>
      </c>
      <c r="G15" s="18">
        <f t="shared" si="38"/>
        <v>0.25944804339081101</v>
      </c>
      <c r="H15" s="18">
        <f t="shared" si="38"/>
        <v>0.25551889985148063</v>
      </c>
      <c r="I15" s="18">
        <f t="shared" si="38"/>
        <v>0.25074256887705121</v>
      </c>
      <c r="J15" s="18">
        <f t="shared" si="38"/>
        <v>0.24498380646594209</v>
      </c>
      <c r="K15" s="18">
        <f t="shared" si="38"/>
        <v>0.23810879962646864</v>
      </c>
      <c r="L15" s="9">
        <v>0.23</v>
      </c>
      <c r="M15" s="18">
        <f t="shared" ref="M15:AF15" si="39">$L$15*((0.0278/(1+POWER(10,7.688-M3))+(1.1994/(1+POWER(10,M3-7.688)))))</f>
        <v>0.22055901957301297</v>
      </c>
      <c r="N15" s="18">
        <f t="shared" si="39"/>
        <v>0.2097526772220174</v>
      </c>
      <c r="O15" s="18">
        <f t="shared" si="39"/>
        <v>0.19760631983558333</v>
      </c>
      <c r="P15" s="18">
        <f t="shared" si="39"/>
        <v>0.18423382698821023</v>
      </c>
      <c r="Q15" s="18">
        <f t="shared" si="39"/>
        <v>0.16984321258258905</v>
      </c>
      <c r="R15" s="18">
        <f t="shared" si="39"/>
        <v>0.15473189221375744</v>
      </c>
      <c r="S15" s="18">
        <f t="shared" si="39"/>
        <v>0.13926669942009018</v>
      </c>
      <c r="T15" s="18">
        <f t="shared" si="39"/>
        <v>0.12385040678595828</v>
      </c>
      <c r="U15" s="18">
        <f t="shared" si="39"/>
        <v>0.10888074803250181</v>
      </c>
      <c r="V15" s="26">
        <f t="shared" si="39"/>
        <v>9.4710511613199766E-2</v>
      </c>
      <c r="W15" s="26">
        <f t="shared" si="39"/>
        <v>8.1616899973736376E-2</v>
      </c>
      <c r="X15" s="26">
        <f t="shared" si="39"/>
        <v>6.9785214382883071E-2</v>
      </c>
      <c r="Y15" s="26">
        <f t="shared" si="39"/>
        <v>5.9307570850508216E-2</v>
      </c>
      <c r="Z15" s="26">
        <f t="shared" si="39"/>
        <v>5.0193651133473217E-2</v>
      </c>
      <c r="AA15" s="26">
        <f t="shared" si="39"/>
        <v>4.238860403161409E-2</v>
      </c>
      <c r="AB15" s="26">
        <f t="shared" si="39"/>
        <v>3.5793212598927635E-2</v>
      </c>
      <c r="AC15" s="26">
        <f t="shared" si="39"/>
        <v>3.0282661932240305E-2</v>
      </c>
      <c r="AD15" s="26">
        <f t="shared" si="39"/>
        <v>2.5721844194381938E-2</v>
      </c>
      <c r="AE15" s="26">
        <f t="shared" si="39"/>
        <v>2.1976525774298483E-2</v>
      </c>
      <c r="AF15" s="26">
        <f t="shared" si="39"/>
        <v>1.8920624103586789E-2</v>
      </c>
    </row>
    <row r="16" spans="1:32" x14ac:dyDescent="0.2">
      <c r="A16" s="228">
        <v>22</v>
      </c>
      <c r="B16" s="18">
        <f>$L$16*((0.0278/(1+POWER(10,7.688-B3))+(1.1994/(1+POWER(10,B3-7.688)))))</f>
        <v>0.2586873519541677</v>
      </c>
      <c r="C16" s="18">
        <f t="shared" ref="C16:K16" si="40">$L$16*((0.0278/(1+POWER(10,7.688-C3))+(1.1994/(1+POWER(10,C3-7.688)))))</f>
        <v>0.25737971706082946</v>
      </c>
      <c r="D16" s="18">
        <f t="shared" si="40"/>
        <v>0.25575263025422473</v>
      </c>
      <c r="E16" s="18">
        <f t="shared" si="40"/>
        <v>0.25373397059915825</v>
      </c>
      <c r="F16" s="18">
        <f t="shared" si="40"/>
        <v>0.25123858241080982</v>
      </c>
      <c r="G16" s="18">
        <f t="shared" si="40"/>
        <v>0.24816769367816702</v>
      </c>
      <c r="H16" s="18">
        <f t="shared" si="40"/>
        <v>0.24440938246663363</v>
      </c>
      <c r="I16" s="18">
        <f t="shared" si="40"/>
        <v>0.23984071805630985</v>
      </c>
      <c r="J16" s="18">
        <f t="shared" si="40"/>
        <v>0.23433233661959676</v>
      </c>
      <c r="K16" s="18">
        <f t="shared" si="40"/>
        <v>0.22775624312096998</v>
      </c>
      <c r="L16" s="9">
        <v>0.22</v>
      </c>
      <c r="M16" s="18">
        <f t="shared" ref="M16:AF16" si="41">$L$16*((0.0278/(1+POWER(10,7.688-M3))+(1.1994/(1+POWER(10,M3-7.688)))))</f>
        <v>0.21096949698288195</v>
      </c>
      <c r="N16" s="18">
        <f t="shared" si="41"/>
        <v>0.20063299560366882</v>
      </c>
      <c r="O16" s="18">
        <f t="shared" si="41"/>
        <v>0.1890147407122971</v>
      </c>
      <c r="P16" s="18">
        <f t="shared" si="41"/>
        <v>0.17622366059741848</v>
      </c>
      <c r="Q16" s="18">
        <f t="shared" si="41"/>
        <v>0.16245872507899822</v>
      </c>
      <c r="R16" s="18">
        <f t="shared" si="41"/>
        <v>0.14800441863924624</v>
      </c>
      <c r="S16" s="18">
        <f t="shared" si="41"/>
        <v>0.13321162553226018</v>
      </c>
      <c r="T16" s="18">
        <f t="shared" si="41"/>
        <v>0.11846560649091661</v>
      </c>
      <c r="U16" s="18">
        <f t="shared" si="41"/>
        <v>0.10414680246587128</v>
      </c>
      <c r="V16" s="26">
        <f t="shared" si="41"/>
        <v>9.059266328219108E-2</v>
      </c>
      <c r="W16" s="26">
        <f t="shared" si="41"/>
        <v>7.806833910531305E-2</v>
      </c>
      <c r="X16" s="26">
        <f t="shared" si="41"/>
        <v>6.6751074627105542E-2</v>
      </c>
      <c r="Y16" s="26">
        <f t="shared" si="41"/>
        <v>5.6728980813529596E-2</v>
      </c>
      <c r="Z16" s="26">
        <f t="shared" si="41"/>
        <v>4.8011318475496119E-2</v>
      </c>
      <c r="AA16" s="26">
        <f t="shared" si="41"/>
        <v>4.0545621247630871E-2</v>
      </c>
      <c r="AB16" s="26">
        <f t="shared" si="41"/>
        <v>3.4236985964191648E-2</v>
      </c>
      <c r="AC16" s="26">
        <f t="shared" si="41"/>
        <v>2.8966024456925508E-2</v>
      </c>
      <c r="AD16" s="26">
        <f t="shared" si="41"/>
        <v>2.4603503142452288E-2</v>
      </c>
      <c r="AE16" s="26">
        <f t="shared" si="41"/>
        <v>2.102102465367681E-2</v>
      </c>
      <c r="AF16" s="26">
        <f t="shared" si="41"/>
        <v>1.8097988272996059E-2</v>
      </c>
    </row>
    <row r="17" spans="1:32" x14ac:dyDescent="0.2">
      <c r="A17" s="228">
        <v>23</v>
      </c>
      <c r="B17" s="18">
        <f>$L$17*((0.0278/(1+POWER(10,7.688-B3))+(1.1994/(1+POWER(10,B3-7.688)))))</f>
        <v>0.22341180396041757</v>
      </c>
      <c r="C17" s="18">
        <f t="shared" ref="C17:K17" si="42">$L$17*((0.0278/(1+POWER(10,7.688-C3))+(1.1994/(1+POWER(10,C3-7.688)))))</f>
        <v>0.22228248291617089</v>
      </c>
      <c r="D17" s="18">
        <f t="shared" si="42"/>
        <v>0.22087727158319409</v>
      </c>
      <c r="E17" s="18">
        <f t="shared" si="42"/>
        <v>0.21913388369927303</v>
      </c>
      <c r="F17" s="18">
        <f t="shared" si="42"/>
        <v>0.21697877571842666</v>
      </c>
      <c r="G17" s="18">
        <f t="shared" si="42"/>
        <v>0.21432664454023514</v>
      </c>
      <c r="H17" s="18">
        <f t="shared" si="42"/>
        <v>0.21108083031209268</v>
      </c>
      <c r="I17" s="18">
        <f t="shared" si="42"/>
        <v>0.20713516559408579</v>
      </c>
      <c r="J17" s="18">
        <f t="shared" si="42"/>
        <v>0.20237792708056085</v>
      </c>
      <c r="K17" s="18">
        <f t="shared" si="42"/>
        <v>0.19669857360447407</v>
      </c>
      <c r="L17" s="9">
        <v>0.19</v>
      </c>
      <c r="M17" s="18">
        <f t="shared" ref="M17:AF17" si="43">$L$17*((0.0278/(1+POWER(10,7.688-M3))+(1.1994/(1+POWER(10,M3-7.688)))))</f>
        <v>0.18220092921248895</v>
      </c>
      <c r="N17" s="18">
        <f t="shared" si="43"/>
        <v>0.17327395074862309</v>
      </c>
      <c r="O17" s="18">
        <f t="shared" si="43"/>
        <v>0.16324000334243841</v>
      </c>
      <c r="P17" s="18">
        <f t="shared" si="43"/>
        <v>0.15219316142504322</v>
      </c>
      <c r="Q17" s="18">
        <f t="shared" si="43"/>
        <v>0.14030526256822576</v>
      </c>
      <c r="R17" s="18">
        <f t="shared" si="43"/>
        <v>0.12782199791571267</v>
      </c>
      <c r="S17" s="18">
        <f t="shared" si="43"/>
        <v>0.11504640386877016</v>
      </c>
      <c r="T17" s="18">
        <f t="shared" si="43"/>
        <v>0.10231120560579161</v>
      </c>
      <c r="U17" s="26">
        <f t="shared" si="43"/>
        <v>8.9944965765979754E-2</v>
      </c>
      <c r="V17" s="26">
        <f t="shared" si="43"/>
        <v>7.8239118289165022E-2</v>
      </c>
      <c r="W17" s="26">
        <f t="shared" si="43"/>
        <v>6.7422656500043088E-2</v>
      </c>
      <c r="X17" s="26">
        <f t="shared" si="43"/>
        <v>5.7648655359772968E-2</v>
      </c>
      <c r="Y17" s="26">
        <f t="shared" si="43"/>
        <v>4.8993210702593742E-2</v>
      </c>
      <c r="Z17" s="26">
        <f t="shared" si="43"/>
        <v>4.146432050156483E-2</v>
      </c>
      <c r="AA17" s="26">
        <f t="shared" si="43"/>
        <v>3.5016672895681208E-2</v>
      </c>
      <c r="AB17" s="26">
        <f t="shared" si="43"/>
        <v>2.9568306059983698E-2</v>
      </c>
      <c r="AC17" s="26">
        <f t="shared" si="43"/>
        <v>2.5016112030981121E-2</v>
      </c>
      <c r="AD17" s="26">
        <f t="shared" si="43"/>
        <v>2.1248479986663339E-2</v>
      </c>
      <c r="AE17" s="26">
        <f t="shared" si="43"/>
        <v>1.815452129181179E-2</v>
      </c>
      <c r="AF17" s="26">
        <f t="shared" si="43"/>
        <v>1.5630080781223871E-2</v>
      </c>
    </row>
    <row r="18" spans="1:32" x14ac:dyDescent="0.2">
      <c r="A18" s="228">
        <v>24</v>
      </c>
      <c r="B18" s="18">
        <f>$L$18*((0.0278/(1+POWER(10,7.688-B3))+(1.1994/(1+POWER(10,B3-7.688)))))</f>
        <v>0.1763777399687507</v>
      </c>
      <c r="C18" s="18">
        <f t="shared" ref="C18:K18" si="44">$L$18*((0.0278/(1+POWER(10,7.688-C3))+(1.1994/(1+POWER(10,C3-7.688)))))</f>
        <v>0.17548617072329278</v>
      </c>
      <c r="D18" s="18">
        <f t="shared" si="44"/>
        <v>0.17437679335515321</v>
      </c>
      <c r="E18" s="18">
        <f t="shared" si="44"/>
        <v>0.17300043449942606</v>
      </c>
      <c r="F18" s="18">
        <f t="shared" si="44"/>
        <v>0.17129903346191577</v>
      </c>
      <c r="G18" s="18">
        <f t="shared" si="44"/>
        <v>0.16920524568965933</v>
      </c>
      <c r="H18" s="18">
        <f t="shared" si="44"/>
        <v>0.16664276077270473</v>
      </c>
      <c r="I18" s="18">
        <f t="shared" si="44"/>
        <v>0.16352776231112034</v>
      </c>
      <c r="J18" s="18">
        <f t="shared" si="44"/>
        <v>0.15977204769517961</v>
      </c>
      <c r="K18" s="18">
        <f t="shared" si="44"/>
        <v>0.15528834758247953</v>
      </c>
      <c r="L18" s="9">
        <v>0.15</v>
      </c>
      <c r="M18" s="18">
        <f t="shared" ref="M18:AF18" si="45">$L$18*((0.0278/(1+POWER(10,7.688-M3))+(1.1994/(1+POWER(10,M3-7.688)))))</f>
        <v>0.14384283885196497</v>
      </c>
      <c r="N18" s="18">
        <f t="shared" si="45"/>
        <v>0.13679522427522875</v>
      </c>
      <c r="O18" s="18">
        <f t="shared" si="45"/>
        <v>0.12887368684929346</v>
      </c>
      <c r="P18" s="18">
        <f t="shared" si="45"/>
        <v>0.12015249586187622</v>
      </c>
      <c r="Q18" s="18">
        <f t="shared" si="45"/>
        <v>0.11076731255386242</v>
      </c>
      <c r="R18" s="18">
        <f t="shared" si="45"/>
        <v>0.10091210361766788</v>
      </c>
      <c r="S18" s="26">
        <f t="shared" si="45"/>
        <v>9.0826108317450124E-2</v>
      </c>
      <c r="T18" s="26">
        <f t="shared" si="45"/>
        <v>8.077200442562496E-2</v>
      </c>
      <c r="U18" s="26">
        <f t="shared" si="45"/>
        <v>7.1009183499457687E-2</v>
      </c>
      <c r="V18" s="26">
        <f t="shared" si="45"/>
        <v>6.1767724965130277E-2</v>
      </c>
      <c r="W18" s="26">
        <f t="shared" si="45"/>
        <v>5.3228413026349806E-2</v>
      </c>
      <c r="X18" s="26">
        <f t="shared" si="45"/>
        <v>4.5512096336662866E-2</v>
      </c>
      <c r="Y18" s="26">
        <f t="shared" si="45"/>
        <v>3.8678850554679269E-2</v>
      </c>
      <c r="Z18" s="26">
        <f t="shared" si="45"/>
        <v>3.2734989869656443E-2</v>
      </c>
      <c r="AA18" s="26">
        <f t="shared" si="45"/>
        <v>2.764474175974832E-2</v>
      </c>
      <c r="AB18" s="26">
        <f t="shared" si="45"/>
        <v>2.3343399521039761E-2</v>
      </c>
      <c r="AC18" s="26">
        <f t="shared" si="45"/>
        <v>1.9749562129721936E-2</v>
      </c>
      <c r="AD18" s="26">
        <f t="shared" si="45"/>
        <v>1.6775115778944739E-2</v>
      </c>
      <c r="AE18" s="26">
        <f t="shared" si="45"/>
        <v>1.4332516809325097E-2</v>
      </c>
      <c r="AF18" s="26">
        <f t="shared" si="45"/>
        <v>1.2339537458860949E-2</v>
      </c>
    </row>
    <row r="19" spans="1:32" x14ac:dyDescent="0.2">
      <c r="A19" s="228">
        <v>25</v>
      </c>
      <c r="B19" s="18">
        <f>$L$19*((0.0278/(1+POWER(10,7.688-B3))+(1.1994/(1+POWER(10,B3-7.688)))))</f>
        <v>0.1763777399687507</v>
      </c>
      <c r="C19" s="18">
        <f t="shared" ref="C19:K19" si="46">$L$19*((0.0278/(1+POWER(10,7.688-C3))+(1.1994/(1+POWER(10,C3-7.688)))))</f>
        <v>0.17548617072329278</v>
      </c>
      <c r="D19" s="18">
        <f t="shared" si="46"/>
        <v>0.17437679335515321</v>
      </c>
      <c r="E19" s="18">
        <f t="shared" si="46"/>
        <v>0.17300043449942606</v>
      </c>
      <c r="F19" s="18">
        <f t="shared" si="46"/>
        <v>0.17129903346191577</v>
      </c>
      <c r="G19" s="18">
        <f t="shared" si="46"/>
        <v>0.16920524568965933</v>
      </c>
      <c r="H19" s="18">
        <f t="shared" si="46"/>
        <v>0.16664276077270473</v>
      </c>
      <c r="I19" s="18">
        <f t="shared" si="46"/>
        <v>0.16352776231112034</v>
      </c>
      <c r="J19" s="18">
        <f t="shared" si="46"/>
        <v>0.15977204769517961</v>
      </c>
      <c r="K19" s="18">
        <f t="shared" si="46"/>
        <v>0.15528834758247953</v>
      </c>
      <c r="L19" s="9">
        <v>0.15</v>
      </c>
      <c r="M19" s="18">
        <f t="shared" ref="M19:AF19" si="47">$L$19*((0.0278/(1+POWER(10,7.688-M3))+(1.1994/(1+POWER(10,M3-7.688)))))</f>
        <v>0.14384283885196497</v>
      </c>
      <c r="N19" s="18">
        <f t="shared" si="47"/>
        <v>0.13679522427522875</v>
      </c>
      <c r="O19" s="18">
        <f t="shared" si="47"/>
        <v>0.12887368684929346</v>
      </c>
      <c r="P19" s="18">
        <f t="shared" si="47"/>
        <v>0.12015249586187622</v>
      </c>
      <c r="Q19" s="18">
        <f t="shared" si="47"/>
        <v>0.11076731255386242</v>
      </c>
      <c r="R19" s="18">
        <f t="shared" si="47"/>
        <v>0.10091210361766788</v>
      </c>
      <c r="S19" s="26">
        <f t="shared" si="47"/>
        <v>9.0826108317450124E-2</v>
      </c>
      <c r="T19" s="26">
        <f t="shared" si="47"/>
        <v>8.077200442562496E-2</v>
      </c>
      <c r="U19" s="26">
        <f t="shared" si="47"/>
        <v>7.1009183499457687E-2</v>
      </c>
      <c r="V19" s="26">
        <f t="shared" si="47"/>
        <v>6.1767724965130277E-2</v>
      </c>
      <c r="W19" s="26">
        <f t="shared" si="47"/>
        <v>5.3228413026349806E-2</v>
      </c>
      <c r="X19" s="26">
        <f t="shared" si="47"/>
        <v>4.5512096336662866E-2</v>
      </c>
      <c r="Y19" s="26">
        <f t="shared" si="47"/>
        <v>3.8678850554679269E-2</v>
      </c>
      <c r="Z19" s="26">
        <f t="shared" si="47"/>
        <v>3.2734989869656443E-2</v>
      </c>
      <c r="AA19" s="26">
        <f t="shared" si="47"/>
        <v>2.764474175974832E-2</v>
      </c>
      <c r="AB19" s="26">
        <f t="shared" si="47"/>
        <v>2.3343399521039761E-2</v>
      </c>
      <c r="AC19" s="26">
        <f t="shared" si="47"/>
        <v>1.9749562129721936E-2</v>
      </c>
      <c r="AD19" s="26">
        <f t="shared" si="47"/>
        <v>1.6775115778944739E-2</v>
      </c>
      <c r="AE19" s="26">
        <f t="shared" si="47"/>
        <v>1.4332516809325097E-2</v>
      </c>
      <c r="AF19" s="26">
        <f t="shared" si="47"/>
        <v>1.2339537458860949E-2</v>
      </c>
    </row>
    <row r="20" spans="1:32" x14ac:dyDescent="0.2">
      <c r="A20" s="228">
        <v>26</v>
      </c>
      <c r="B20" s="18">
        <f>$L$20*((0.0278/(1+POWER(10,7.688-B3))+(1.1994/(1+POWER(10,B3-7.688)))))</f>
        <v>0.15286070797291729</v>
      </c>
      <c r="C20" s="18">
        <f t="shared" ref="C20:K20" si="48">$L$20*((0.0278/(1+POWER(10,7.688-C3))+(1.1994/(1+POWER(10,C3-7.688)))))</f>
        <v>0.15208801462685376</v>
      </c>
      <c r="D20" s="18">
        <f t="shared" si="48"/>
        <v>0.1511265542411328</v>
      </c>
      <c r="E20" s="18">
        <f t="shared" si="48"/>
        <v>0.14993370989950261</v>
      </c>
      <c r="F20" s="18">
        <f t="shared" si="48"/>
        <v>0.14845916233366035</v>
      </c>
      <c r="G20" s="18">
        <f t="shared" si="48"/>
        <v>0.14664454626437143</v>
      </c>
      <c r="H20" s="18">
        <f t="shared" si="48"/>
        <v>0.14442372600301079</v>
      </c>
      <c r="I20" s="18">
        <f t="shared" si="48"/>
        <v>0.14172406066963764</v>
      </c>
      <c r="J20" s="18">
        <f t="shared" si="48"/>
        <v>0.13846910800248899</v>
      </c>
      <c r="K20" s="18">
        <f t="shared" si="48"/>
        <v>0.13458323457148227</v>
      </c>
      <c r="L20" s="9">
        <v>0.13</v>
      </c>
      <c r="M20" s="18">
        <f t="shared" ref="M20:AF20" si="49">$L$20*((0.0278/(1+POWER(10,7.688-M3))+(1.1994/(1+POWER(10,M3-7.688)))))</f>
        <v>0.12466379367170298</v>
      </c>
      <c r="N20" s="18">
        <f t="shared" si="49"/>
        <v>0.11855586103853158</v>
      </c>
      <c r="O20" s="18">
        <f t="shared" si="49"/>
        <v>0.11169052860272101</v>
      </c>
      <c r="P20" s="18">
        <f t="shared" si="49"/>
        <v>0.10413216308029273</v>
      </c>
      <c r="Q20" s="18">
        <f t="shared" si="49"/>
        <v>9.5998337546680773E-2</v>
      </c>
      <c r="R20" s="26">
        <f t="shared" si="49"/>
        <v>8.7457156468645506E-2</v>
      </c>
      <c r="S20" s="26">
        <f t="shared" si="49"/>
        <v>7.8715960541790114E-2</v>
      </c>
      <c r="T20" s="26">
        <f t="shared" si="49"/>
        <v>7.0002403835541641E-2</v>
      </c>
      <c r="U20" s="26">
        <f t="shared" si="49"/>
        <v>6.1541292366196675E-2</v>
      </c>
      <c r="V20" s="26">
        <f t="shared" si="49"/>
        <v>5.3532028303112912E-2</v>
      </c>
      <c r="W20" s="26">
        <f t="shared" si="49"/>
        <v>4.6131291289503169E-2</v>
      </c>
      <c r="X20" s="26">
        <f t="shared" si="49"/>
        <v>3.9443816825107822E-2</v>
      </c>
      <c r="Y20" s="26">
        <f t="shared" si="49"/>
        <v>3.3521670480722035E-2</v>
      </c>
      <c r="Z20" s="26">
        <f t="shared" si="49"/>
        <v>2.8370324553702253E-2</v>
      </c>
      <c r="AA20" s="26">
        <f t="shared" si="49"/>
        <v>2.395877619178188E-2</v>
      </c>
      <c r="AB20" s="26">
        <f t="shared" si="49"/>
        <v>2.0230946251567794E-2</v>
      </c>
      <c r="AC20" s="26">
        <f t="shared" si="49"/>
        <v>1.7116287179092346E-2</v>
      </c>
      <c r="AD20" s="26">
        <f t="shared" si="49"/>
        <v>1.4538433675085442E-2</v>
      </c>
      <c r="AE20" s="26">
        <f t="shared" si="49"/>
        <v>1.2421514568081752E-2</v>
      </c>
      <c r="AF20" s="26">
        <f t="shared" si="49"/>
        <v>1.069426579767949E-2</v>
      </c>
    </row>
    <row r="21" spans="1:32" x14ac:dyDescent="0.2">
      <c r="A21" s="228">
        <v>27</v>
      </c>
      <c r="B21" s="18">
        <f>$L$21*((0.0278/(1+POWER(10,7.688-B3))+(1.1994/(1+POWER(10,B3-7.688)))))</f>
        <v>0.12934367597708385</v>
      </c>
      <c r="C21" s="18">
        <f t="shared" ref="C21:K21" si="50">$L$21*((0.0278/(1+POWER(10,7.688-C3))+(1.1994/(1+POWER(10,C3-7.688)))))</f>
        <v>0.12868985853041473</v>
      </c>
      <c r="D21" s="18">
        <f t="shared" si="50"/>
        <v>0.12787631512711237</v>
      </c>
      <c r="E21" s="18">
        <f t="shared" si="50"/>
        <v>0.12686698529957913</v>
      </c>
      <c r="F21" s="18">
        <f t="shared" si="50"/>
        <v>0.12561929120540491</v>
      </c>
      <c r="G21" s="18">
        <f t="shared" si="50"/>
        <v>0.12408384683908351</v>
      </c>
      <c r="H21" s="18">
        <f t="shared" si="50"/>
        <v>0.12220469123331681</v>
      </c>
      <c r="I21" s="18">
        <f t="shared" si="50"/>
        <v>0.11992035902815493</v>
      </c>
      <c r="J21" s="18">
        <f t="shared" si="50"/>
        <v>0.11716616830979838</v>
      </c>
      <c r="K21" s="18">
        <f t="shared" si="50"/>
        <v>0.11387812156048499</v>
      </c>
      <c r="L21" s="9">
        <v>0.11</v>
      </c>
      <c r="M21" s="18">
        <f t="shared" ref="M21:AF21" si="51">$L$21*((0.0278/(1+POWER(10,7.688-M3))+(1.1994/(1+POWER(10,M3-7.688)))))</f>
        <v>0.10548474849144097</v>
      </c>
      <c r="N21" s="18">
        <f t="shared" si="51"/>
        <v>0.10031649780183441</v>
      </c>
      <c r="O21" s="26">
        <f t="shared" si="51"/>
        <v>9.4507370356148548E-2</v>
      </c>
      <c r="P21" s="26">
        <f t="shared" si="51"/>
        <v>8.811183029870924E-2</v>
      </c>
      <c r="Q21" s="26">
        <f t="shared" si="51"/>
        <v>8.1229362539499111E-2</v>
      </c>
      <c r="R21" s="26">
        <f t="shared" si="51"/>
        <v>7.4002209319623119E-2</v>
      </c>
      <c r="S21" s="26">
        <f t="shared" si="51"/>
        <v>6.660581276613009E-2</v>
      </c>
      <c r="T21" s="26">
        <f t="shared" si="51"/>
        <v>5.9232803245458307E-2</v>
      </c>
      <c r="U21" s="26">
        <f t="shared" si="51"/>
        <v>5.2073401232935641E-2</v>
      </c>
      <c r="V21" s="26">
        <f t="shared" si="51"/>
        <v>4.529633164109554E-2</v>
      </c>
      <c r="W21" s="26">
        <f t="shared" si="51"/>
        <v>3.9034169552656525E-2</v>
      </c>
      <c r="X21" s="26">
        <f t="shared" si="51"/>
        <v>3.3375537313552771E-2</v>
      </c>
      <c r="Y21" s="26">
        <f t="shared" si="51"/>
        <v>2.8364490406764798E-2</v>
      </c>
      <c r="Z21" s="26">
        <f t="shared" si="51"/>
        <v>2.4005659237748059E-2</v>
      </c>
      <c r="AA21" s="26">
        <f t="shared" si="51"/>
        <v>2.0272810623815436E-2</v>
      </c>
      <c r="AB21" s="26">
        <f t="shared" si="51"/>
        <v>1.7118492982095824E-2</v>
      </c>
      <c r="AC21" s="26">
        <f t="shared" si="51"/>
        <v>1.4483012228462754E-2</v>
      </c>
      <c r="AD21" s="26">
        <f t="shared" si="51"/>
        <v>1.2301751571226144E-2</v>
      </c>
      <c r="AE21" s="26">
        <f t="shared" si="51"/>
        <v>1.0510512326838405E-2</v>
      </c>
      <c r="AF21" s="26">
        <f t="shared" si="51"/>
        <v>9.0489941364980293E-3</v>
      </c>
    </row>
    <row r="22" spans="1:32" x14ac:dyDescent="0.2">
      <c r="A22" s="228">
        <v>28</v>
      </c>
      <c r="B22" s="18">
        <f>$L$22*((0.0278/(1+POWER(10,7.688-B3))+(1.1994/(1+POWER(10,B3-7.688)))))</f>
        <v>0.11758515997916714</v>
      </c>
      <c r="C22" s="18">
        <f t="shared" ref="C22:K22" si="52">$L$22*((0.0278/(1+POWER(10,7.688-C3))+(1.1994/(1+POWER(10,C3-7.688)))))</f>
        <v>0.1169907804821952</v>
      </c>
      <c r="D22" s="18">
        <f t="shared" si="52"/>
        <v>0.11625119557010216</v>
      </c>
      <c r="E22" s="18">
        <f t="shared" si="52"/>
        <v>0.11533362299961739</v>
      </c>
      <c r="F22" s="18">
        <f t="shared" si="52"/>
        <v>0.1141993556412772</v>
      </c>
      <c r="G22" s="18">
        <f t="shared" si="52"/>
        <v>0.11280349712643956</v>
      </c>
      <c r="H22" s="18">
        <f t="shared" si="52"/>
        <v>0.11109517384846984</v>
      </c>
      <c r="I22" s="18">
        <f t="shared" si="52"/>
        <v>0.10901850820741357</v>
      </c>
      <c r="J22" s="18">
        <f t="shared" si="52"/>
        <v>0.10651469846345307</v>
      </c>
      <c r="K22" s="18">
        <f t="shared" si="52"/>
        <v>0.10352556505498636</v>
      </c>
      <c r="L22" s="18">
        <v>0.1</v>
      </c>
      <c r="M22" s="18">
        <f t="shared" ref="M22:AF22" si="53">$L$22*((0.0278/(1+POWER(10,7.688-M3))+(1.1994/(1+POWER(10,M3-7.688)))))</f>
        <v>9.5895225901309986E-2</v>
      </c>
      <c r="N22" s="26">
        <f t="shared" si="53"/>
        <v>9.1196816183485838E-2</v>
      </c>
      <c r="O22" s="26">
        <f t="shared" si="53"/>
        <v>8.5915791232862318E-2</v>
      </c>
      <c r="P22" s="26">
        <f t="shared" si="53"/>
        <v>8.0101663907917495E-2</v>
      </c>
      <c r="Q22" s="26">
        <f t="shared" si="53"/>
        <v>7.3844875035908294E-2</v>
      </c>
      <c r="R22" s="26">
        <f t="shared" si="53"/>
        <v>6.7274735745111933E-2</v>
      </c>
      <c r="S22" s="26">
        <f t="shared" si="53"/>
        <v>6.0550738878300085E-2</v>
      </c>
      <c r="T22" s="26">
        <f t="shared" si="53"/>
        <v>5.384800295041664E-2</v>
      </c>
      <c r="U22" s="26">
        <f t="shared" si="53"/>
        <v>4.7339455666305132E-2</v>
      </c>
      <c r="V22" s="26">
        <f t="shared" si="53"/>
        <v>4.1178483310086861E-2</v>
      </c>
      <c r="W22" s="26">
        <f t="shared" si="53"/>
        <v>3.5485608684233207E-2</v>
      </c>
      <c r="X22" s="26">
        <f t="shared" si="53"/>
        <v>3.0341397557775249E-2</v>
      </c>
      <c r="Y22" s="26">
        <f t="shared" si="53"/>
        <v>2.5785900369786181E-2</v>
      </c>
      <c r="Z22" s="26">
        <f t="shared" si="53"/>
        <v>2.1823326579770964E-2</v>
      </c>
      <c r="AA22" s="26">
        <f t="shared" si="53"/>
        <v>1.8429827839832214E-2</v>
      </c>
      <c r="AB22" s="26">
        <f t="shared" si="53"/>
        <v>1.556226634735984E-2</v>
      </c>
      <c r="AC22" s="26">
        <f t="shared" si="53"/>
        <v>1.3166374753147959E-2</v>
      </c>
      <c r="AD22" s="26">
        <f t="shared" si="53"/>
        <v>1.1183410519296494E-2</v>
      </c>
      <c r="AE22" s="26">
        <f t="shared" si="53"/>
        <v>9.5550112062167333E-3</v>
      </c>
      <c r="AF22" s="26">
        <f t="shared" si="53"/>
        <v>8.2263583059073008E-3</v>
      </c>
    </row>
    <row r="23" spans="1:32" x14ac:dyDescent="0.2">
      <c r="A23" s="228">
        <v>29</v>
      </c>
      <c r="B23" s="18">
        <f>$L$23*((0.0278/(1+POWER(10,7.688-B3))+(1.1994/(1+POWER(10,B3-7.688)))))</f>
        <v>0.10229908918187541</v>
      </c>
      <c r="C23" s="18">
        <f t="shared" ref="C23:K23" si="54">$L$23*((0.0278/(1+POWER(10,7.688-C3))+(1.1994/(1+POWER(10,C3-7.688)))))</f>
        <v>0.10178197901950982</v>
      </c>
      <c r="D23" s="18">
        <f t="shared" si="54"/>
        <v>0.10113854014598886</v>
      </c>
      <c r="E23" s="18">
        <f t="shared" si="54"/>
        <v>0.10034025200966712</v>
      </c>
      <c r="F23" s="18">
        <f t="shared" si="54"/>
        <v>9.9353439407911151E-2</v>
      </c>
      <c r="G23" s="18">
        <f t="shared" si="54"/>
        <v>9.813904250000241E-2</v>
      </c>
      <c r="H23" s="18">
        <f t="shared" si="54"/>
        <v>9.6652801248168746E-2</v>
      </c>
      <c r="I23" s="26">
        <f t="shared" si="54"/>
        <v>9.4846102140449792E-2</v>
      </c>
      <c r="J23" s="26">
        <f t="shared" si="54"/>
        <v>9.266778766320416E-2</v>
      </c>
      <c r="K23" s="26">
        <f t="shared" si="54"/>
        <v>9.0067241597838119E-2</v>
      </c>
      <c r="L23" s="9">
        <v>8.6999999999999994E-2</v>
      </c>
      <c r="M23" s="18">
        <f t="shared" ref="M23:AF23" si="55">$L$23*((0.0278/(1+POWER(10,7.688-M3))+(1.1994/(1+POWER(10,M3-7.688)))))</f>
        <v>8.3428846534139678E-2</v>
      </c>
      <c r="N23" s="18">
        <f t="shared" si="55"/>
        <v>7.934123007963266E-2</v>
      </c>
      <c r="O23" s="26">
        <f t="shared" si="55"/>
        <v>7.4746738372590216E-2</v>
      </c>
      <c r="P23" s="26">
        <f t="shared" si="55"/>
        <v>6.9688447599888209E-2</v>
      </c>
      <c r="Q23" s="26">
        <f t="shared" si="55"/>
        <v>6.4245041281240201E-2</v>
      </c>
      <c r="R23" s="26">
        <f t="shared" si="55"/>
        <v>5.852902009824737E-2</v>
      </c>
      <c r="S23" s="26">
        <f t="shared" si="55"/>
        <v>5.2679142824121068E-2</v>
      </c>
      <c r="T23" s="26">
        <f t="shared" si="55"/>
        <v>4.6847762566862475E-2</v>
      </c>
      <c r="U23" s="26">
        <f t="shared" si="55"/>
        <v>4.1185326429685462E-2</v>
      </c>
      <c r="V23" s="26">
        <f t="shared" si="55"/>
        <v>3.5825280479775561E-2</v>
      </c>
      <c r="W23" s="26">
        <f t="shared" si="55"/>
        <v>3.0872479555282887E-2</v>
      </c>
      <c r="X23" s="26">
        <f t="shared" si="55"/>
        <v>2.6397015875264461E-2</v>
      </c>
      <c r="Y23" s="26">
        <f t="shared" si="55"/>
        <v>2.2433733321713976E-2</v>
      </c>
      <c r="Z23" s="26">
        <f t="shared" si="55"/>
        <v>1.8986294124400737E-2</v>
      </c>
      <c r="AA23" s="26">
        <f t="shared" si="55"/>
        <v>1.6033950220654025E-2</v>
      </c>
      <c r="AB23" s="26">
        <f t="shared" si="55"/>
        <v>1.353917172220306E-2</v>
      </c>
      <c r="AC23" s="26">
        <f t="shared" si="55"/>
        <v>1.1454746035238723E-2</v>
      </c>
      <c r="AD23" s="26">
        <f t="shared" si="55"/>
        <v>9.7295671517879483E-3</v>
      </c>
      <c r="AE23" s="26">
        <f t="shared" si="55"/>
        <v>8.3128597494085566E-3</v>
      </c>
      <c r="AF23" s="26">
        <f t="shared" si="55"/>
        <v>7.1569317261393501E-3</v>
      </c>
    </row>
    <row r="24" spans="1:32" x14ac:dyDescent="0.2">
      <c r="A24" s="228">
        <v>30</v>
      </c>
      <c r="B24" s="26">
        <f>$L$24*((0.0278/(1+POWER(10,7.688-B3))+(1.1994/(1+POWER(10,B3-7.688)))))</f>
        <v>8.8188869984375348E-2</v>
      </c>
      <c r="C24" s="26">
        <f t="shared" ref="C24:K24" si="56">$L$24*((0.0278/(1+POWER(10,7.688-C3))+(1.1994/(1+POWER(10,C3-7.688)))))</f>
        <v>8.7743085361646392E-2</v>
      </c>
      <c r="D24" s="26">
        <f t="shared" si="56"/>
        <v>8.7188396677576607E-2</v>
      </c>
      <c r="E24" s="26">
        <f t="shared" si="56"/>
        <v>8.6500217249713032E-2</v>
      </c>
      <c r="F24" s="26">
        <f t="shared" si="56"/>
        <v>8.5649516730957886E-2</v>
      </c>
      <c r="G24" s="26">
        <f t="shared" si="56"/>
        <v>8.4602622844829667E-2</v>
      </c>
      <c r="H24" s="26">
        <f t="shared" si="56"/>
        <v>8.3321380386352367E-2</v>
      </c>
      <c r="I24" s="26">
        <f t="shared" si="56"/>
        <v>8.1763881155560172E-2</v>
      </c>
      <c r="J24" s="26">
        <f t="shared" si="56"/>
        <v>7.9886023847589804E-2</v>
      </c>
      <c r="K24" s="26">
        <f t="shared" si="56"/>
        <v>7.7644173791239765E-2</v>
      </c>
      <c r="L24" s="9">
        <v>7.4999999999999997E-2</v>
      </c>
      <c r="M24" s="26">
        <f t="shared" ref="M24:AF24" si="57">$L$24*((0.0278/(1+POWER(10,7.688-M3))+(1.1994/(1+POWER(10,M3-7.688)))))</f>
        <v>7.1921419425982486E-2</v>
      </c>
      <c r="N24" s="26">
        <f t="shared" si="57"/>
        <v>6.8397612137614375E-2</v>
      </c>
      <c r="O24" s="26">
        <f t="shared" si="57"/>
        <v>6.4436843424646728E-2</v>
      </c>
      <c r="P24" s="26">
        <f t="shared" si="57"/>
        <v>6.0076247930938111E-2</v>
      </c>
      <c r="Q24" s="26">
        <f t="shared" si="57"/>
        <v>5.538365627693121E-2</v>
      </c>
      <c r="R24" s="26">
        <f t="shared" si="57"/>
        <v>5.0456051808833939E-2</v>
      </c>
      <c r="S24" s="26">
        <f t="shared" si="57"/>
        <v>4.5413054158725062E-2</v>
      </c>
      <c r="T24" s="26">
        <f t="shared" si="57"/>
        <v>4.038600221281248E-2</v>
      </c>
      <c r="U24" s="26">
        <f t="shared" si="57"/>
        <v>3.5504591749728844E-2</v>
      </c>
      <c r="V24" s="26">
        <f t="shared" si="57"/>
        <v>3.0883862482565139E-2</v>
      </c>
      <c r="W24" s="26">
        <f t="shared" si="57"/>
        <v>2.6614206513174903E-2</v>
      </c>
      <c r="X24" s="26">
        <f t="shared" si="57"/>
        <v>2.2756048168331433E-2</v>
      </c>
      <c r="Y24" s="26">
        <f t="shared" si="57"/>
        <v>1.9339425277339634E-2</v>
      </c>
      <c r="Z24" s="26">
        <f t="shared" si="57"/>
        <v>1.6367494934828222E-2</v>
      </c>
      <c r="AA24" s="26">
        <f t="shared" si="57"/>
        <v>1.382237087987416E-2</v>
      </c>
      <c r="AB24" s="26">
        <f t="shared" si="57"/>
        <v>1.167169976051988E-2</v>
      </c>
      <c r="AC24" s="26">
        <f t="shared" si="57"/>
        <v>9.8747810648609682E-3</v>
      </c>
      <c r="AD24" s="26">
        <f t="shared" si="57"/>
        <v>8.3875578894723694E-3</v>
      </c>
      <c r="AE24" s="26">
        <f t="shared" si="57"/>
        <v>7.1662584046625483E-3</v>
      </c>
      <c r="AF24" s="26">
        <f t="shared" si="57"/>
        <v>6.1697687294304743E-3</v>
      </c>
    </row>
    <row r="26" spans="1:32" x14ac:dyDescent="0.2">
      <c r="A26" t="s">
        <v>585</v>
      </c>
    </row>
    <row r="27" spans="1:32" x14ac:dyDescent="0.2">
      <c r="A27" s="16"/>
      <c r="B27" s="446" t="s">
        <v>16</v>
      </c>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row>
    <row r="28" spans="1:32" x14ac:dyDescent="0.2">
      <c r="A28" s="227" t="s">
        <v>620</v>
      </c>
      <c r="B28" s="82">
        <v>6</v>
      </c>
      <c r="C28" s="82">
        <v>6.1</v>
      </c>
      <c r="D28" s="82">
        <v>6.2</v>
      </c>
      <c r="E28" s="82">
        <v>6.3</v>
      </c>
      <c r="F28" s="82">
        <v>6.4</v>
      </c>
      <c r="G28" s="82">
        <v>6.5</v>
      </c>
      <c r="H28" s="82">
        <v>6.6</v>
      </c>
      <c r="I28" s="82">
        <v>6.7</v>
      </c>
      <c r="J28" s="82">
        <v>6.8</v>
      </c>
      <c r="K28" s="82">
        <v>6.9</v>
      </c>
      <c r="L28" s="82">
        <v>7</v>
      </c>
      <c r="M28" s="82">
        <v>7.1</v>
      </c>
      <c r="N28" s="82">
        <v>7.2</v>
      </c>
      <c r="O28" s="82">
        <v>7.3</v>
      </c>
      <c r="P28" s="82">
        <v>7.4</v>
      </c>
      <c r="Q28" s="82">
        <v>7.4999999999999902</v>
      </c>
      <c r="R28" s="82">
        <v>7.5999999999999899</v>
      </c>
      <c r="S28" s="82">
        <v>7.6999999999999904</v>
      </c>
      <c r="T28" s="82">
        <v>7.7999999999999901</v>
      </c>
      <c r="U28" s="82">
        <v>7.8999999999999897</v>
      </c>
      <c r="V28" s="82">
        <v>7.9999999999999902</v>
      </c>
      <c r="W28" s="82">
        <v>8.0999999999999908</v>
      </c>
      <c r="X28" s="82">
        <v>8.1999999999999904</v>
      </c>
      <c r="Y28" s="82">
        <v>8.2999999999999901</v>
      </c>
      <c r="Z28" s="82">
        <v>8.3999999999999897</v>
      </c>
      <c r="AA28" s="82">
        <v>8.4999999999999893</v>
      </c>
      <c r="AB28" s="82">
        <v>8.5999999999999908</v>
      </c>
      <c r="AC28" s="82">
        <v>8.6999999999999904</v>
      </c>
      <c r="AD28" s="82">
        <v>8.7999999999999901</v>
      </c>
      <c r="AE28" s="82">
        <v>8.8999999999999897</v>
      </c>
      <c r="AF28" s="82">
        <v>8.9999999999999893</v>
      </c>
    </row>
    <row r="29" spans="1:32" x14ac:dyDescent="0.2">
      <c r="A29" s="228">
        <v>10</v>
      </c>
      <c r="B29" s="15">
        <f>$L$29*((0.0278/(1+POWER(10,7.688-B28))+(1.1994/(1+POWER(10,B28-7.688)))))</f>
        <v>1.7637773996875072</v>
      </c>
      <c r="C29" s="15">
        <f t="shared" ref="C29:M29" si="58">$L$29*((0.0278/(1+POWER(10,7.688-C28))+(1.1994/(1+POWER(10,C28-7.688)))))</f>
        <v>1.754861707232928</v>
      </c>
      <c r="D29" s="15">
        <f t="shared" si="58"/>
        <v>1.7437679335515321</v>
      </c>
      <c r="E29" s="15">
        <f t="shared" si="58"/>
        <v>1.7300043449942608</v>
      </c>
      <c r="F29" s="15">
        <f t="shared" si="58"/>
        <v>1.7129903346191577</v>
      </c>
      <c r="G29" s="15">
        <f t="shared" si="58"/>
        <v>1.6920524568965933</v>
      </c>
      <c r="H29" s="15">
        <f t="shared" si="58"/>
        <v>1.6664276077270475</v>
      </c>
      <c r="I29" s="15">
        <f t="shared" si="58"/>
        <v>1.6352776231112034</v>
      </c>
      <c r="J29" s="15">
        <f t="shared" si="58"/>
        <v>1.5977204769517961</v>
      </c>
      <c r="K29" s="15">
        <f t="shared" si="58"/>
        <v>1.5528834758247954</v>
      </c>
      <c r="L29" s="9">
        <v>1.5</v>
      </c>
      <c r="M29" s="15">
        <f t="shared" si="58"/>
        <v>1.4384283885196496</v>
      </c>
      <c r="N29" s="15">
        <f t="shared" ref="N29" si="59">$L$29*((0.0278/(1+POWER(10,7.688-N28))+(1.1994/(1+POWER(10,N28-7.688)))))</f>
        <v>1.3679522427522874</v>
      </c>
      <c r="O29" s="15">
        <f t="shared" ref="O29" si="60">$L$29*((0.0278/(1+POWER(10,7.688-O28))+(1.1994/(1+POWER(10,O28-7.688)))))</f>
        <v>1.2887368684929348</v>
      </c>
      <c r="P29" s="15">
        <f t="shared" ref="P29" si="61">$L$29*((0.0278/(1+POWER(10,7.688-P28))+(1.1994/(1+POWER(10,P28-7.688)))))</f>
        <v>1.2015249586187622</v>
      </c>
      <c r="Q29" s="15">
        <f t="shared" ref="Q29" si="62">$L$29*((0.0278/(1+POWER(10,7.688-Q28))+(1.1994/(1+POWER(10,Q28-7.688)))))</f>
        <v>1.1076731255386243</v>
      </c>
      <c r="R29" s="15">
        <f t="shared" ref="R29" si="63">$L$29*((0.0278/(1+POWER(10,7.688-R28))+(1.1994/(1+POWER(10,R28-7.688)))))</f>
        <v>1.0091210361766789</v>
      </c>
      <c r="S29" s="18">
        <f t="shared" ref="S29" si="64">$L$29*((0.0278/(1+POWER(10,7.688-S28))+(1.1994/(1+POWER(10,S28-7.688)))))</f>
        <v>0.90826108317450127</v>
      </c>
      <c r="T29" s="18">
        <f t="shared" ref="T29" si="65">$L$29*((0.0278/(1+POWER(10,7.688-T28))+(1.1994/(1+POWER(10,T28-7.688)))))</f>
        <v>0.80772004425624955</v>
      </c>
      <c r="U29" s="18">
        <f t="shared" ref="U29" si="66">$L$29*((0.0278/(1+POWER(10,7.688-U28))+(1.1994/(1+POWER(10,U28-7.688)))))</f>
        <v>0.71009183499457695</v>
      </c>
      <c r="V29" s="18">
        <f t="shared" ref="V29" si="67">$L$29*((0.0278/(1+POWER(10,7.688-V28))+(1.1994/(1+POWER(10,V28-7.688)))))</f>
        <v>0.61767724965130277</v>
      </c>
      <c r="W29" s="18">
        <f t="shared" ref="W29" si="68">$L$29*((0.0278/(1+POWER(10,7.688-W28))+(1.1994/(1+POWER(10,W28-7.688)))))</f>
        <v>0.53228413026349808</v>
      </c>
      <c r="X29" s="18">
        <f t="shared" ref="X29" si="69">$L$29*((0.0278/(1+POWER(10,7.688-X28))+(1.1994/(1+POWER(10,X28-7.688)))))</f>
        <v>0.45512096336662866</v>
      </c>
      <c r="Y29" s="18">
        <f t="shared" ref="Y29" si="70">$L$29*((0.0278/(1+POWER(10,7.688-Y28))+(1.1994/(1+POWER(10,Y28-7.688)))))</f>
        <v>0.38678850554679267</v>
      </c>
      <c r="Z29" s="18">
        <f t="shared" ref="Z29" si="71">$L$29*((0.0278/(1+POWER(10,7.688-Z28))+(1.1994/(1+POWER(10,Z28-7.688)))))</f>
        <v>0.32734989869656445</v>
      </c>
      <c r="AA29" s="18">
        <f t="shared" ref="AA29" si="72">$L$29*((0.0278/(1+POWER(10,7.688-AA28))+(1.1994/(1+POWER(10,AA28-7.688)))))</f>
        <v>0.2764474175974832</v>
      </c>
      <c r="AB29" s="18">
        <f t="shared" ref="AB29" si="73">$L$29*((0.0278/(1+POWER(10,7.688-AB28))+(1.1994/(1+POWER(10,AB28-7.688)))))</f>
        <v>0.23343399521039759</v>
      </c>
      <c r="AC29" s="18">
        <f t="shared" ref="AC29" si="74">$L$29*((0.0278/(1+POWER(10,7.688-AC28))+(1.1994/(1+POWER(10,AC28-7.688)))))</f>
        <v>0.19749562129721937</v>
      </c>
      <c r="AD29" s="18">
        <f t="shared" ref="AD29" si="75">$L$29*((0.0278/(1+POWER(10,7.688-AD28))+(1.1994/(1+POWER(10,AD28-7.688)))))</f>
        <v>0.16775115778944741</v>
      </c>
      <c r="AE29" s="18">
        <f t="shared" ref="AE29" si="76">$L$29*((0.0278/(1+POWER(10,7.688-AE28))+(1.1994/(1+POWER(10,AE28-7.688)))))</f>
        <v>0.14332516809325097</v>
      </c>
      <c r="AF29" s="18">
        <f t="shared" ref="AF29" si="77">$L$29*((0.0278/(1+POWER(10,7.688-AF28))+(1.1994/(1+POWER(10,AF28-7.688)))))</f>
        <v>0.1233953745886095</v>
      </c>
    </row>
    <row r="30" spans="1:32" x14ac:dyDescent="0.2">
      <c r="A30" s="228">
        <v>11</v>
      </c>
      <c r="B30" s="15">
        <f>$L$30*((0.0278/(1+POWER(10,7.688-B28))+(1.1994/(1+POWER(10,B28-7.688)))))</f>
        <v>1.7637773996875072</v>
      </c>
      <c r="C30" s="15">
        <f t="shared" ref="C30:AF30" si="78">$L$30*((0.0278/(1+POWER(10,7.688-C28))+(1.1994/(1+POWER(10,C28-7.688)))))</f>
        <v>1.754861707232928</v>
      </c>
      <c r="D30" s="15">
        <f t="shared" si="78"/>
        <v>1.7437679335515321</v>
      </c>
      <c r="E30" s="15">
        <f t="shared" si="78"/>
        <v>1.7300043449942608</v>
      </c>
      <c r="F30" s="15">
        <f t="shared" si="78"/>
        <v>1.7129903346191577</v>
      </c>
      <c r="G30" s="15">
        <f t="shared" si="78"/>
        <v>1.6920524568965933</v>
      </c>
      <c r="H30" s="15">
        <f t="shared" si="78"/>
        <v>1.6664276077270475</v>
      </c>
      <c r="I30" s="15">
        <f t="shared" si="78"/>
        <v>1.6352776231112034</v>
      </c>
      <c r="J30" s="15">
        <f t="shared" si="78"/>
        <v>1.5977204769517961</v>
      </c>
      <c r="K30" s="15">
        <f t="shared" si="78"/>
        <v>1.5528834758247954</v>
      </c>
      <c r="L30" s="9">
        <v>1.5</v>
      </c>
      <c r="M30" s="15">
        <f t="shared" si="78"/>
        <v>1.4384283885196496</v>
      </c>
      <c r="N30" s="15">
        <f t="shared" si="78"/>
        <v>1.3679522427522874</v>
      </c>
      <c r="O30" s="15">
        <f t="shared" si="78"/>
        <v>1.2887368684929348</v>
      </c>
      <c r="P30" s="15">
        <f t="shared" si="78"/>
        <v>1.2015249586187622</v>
      </c>
      <c r="Q30" s="15">
        <f t="shared" si="78"/>
        <v>1.1076731255386243</v>
      </c>
      <c r="R30" s="15">
        <f t="shared" si="78"/>
        <v>1.0091210361766789</v>
      </c>
      <c r="S30" s="18">
        <f t="shared" si="78"/>
        <v>0.90826108317450127</v>
      </c>
      <c r="T30" s="18">
        <f t="shared" si="78"/>
        <v>0.80772004425624955</v>
      </c>
      <c r="U30" s="18">
        <f t="shared" si="78"/>
        <v>0.71009183499457695</v>
      </c>
      <c r="V30" s="18">
        <f t="shared" si="78"/>
        <v>0.61767724965130277</v>
      </c>
      <c r="W30" s="18">
        <f t="shared" si="78"/>
        <v>0.53228413026349808</v>
      </c>
      <c r="X30" s="18">
        <f t="shared" si="78"/>
        <v>0.45512096336662866</v>
      </c>
      <c r="Y30" s="18">
        <f t="shared" si="78"/>
        <v>0.38678850554679267</v>
      </c>
      <c r="Z30" s="18">
        <f t="shared" si="78"/>
        <v>0.32734989869656445</v>
      </c>
      <c r="AA30" s="18">
        <f t="shared" si="78"/>
        <v>0.2764474175974832</v>
      </c>
      <c r="AB30" s="18">
        <f t="shared" si="78"/>
        <v>0.23343399521039759</v>
      </c>
      <c r="AC30" s="18">
        <f t="shared" si="78"/>
        <v>0.19749562129721937</v>
      </c>
      <c r="AD30" s="18">
        <f t="shared" si="78"/>
        <v>0.16775115778944741</v>
      </c>
      <c r="AE30" s="18">
        <f t="shared" si="78"/>
        <v>0.14332516809325097</v>
      </c>
      <c r="AF30" s="18">
        <f t="shared" si="78"/>
        <v>0.1233953745886095</v>
      </c>
    </row>
    <row r="31" spans="1:32" x14ac:dyDescent="0.2">
      <c r="A31" s="228">
        <v>12</v>
      </c>
      <c r="B31" s="15">
        <f>$L$31*((0.0278/(1+POWER(10,7.688-B28))+(1.1994/(1+POWER(10,B28-7.688)))))</f>
        <v>1.6461922397083399</v>
      </c>
      <c r="C31" s="15">
        <f t="shared" ref="C31:AF31" si="79">$L$31*((0.0278/(1+POWER(10,7.688-C28))+(1.1994/(1+POWER(10,C28-7.688)))))</f>
        <v>1.6378709267507328</v>
      </c>
      <c r="D31" s="15">
        <f t="shared" si="79"/>
        <v>1.6275167379814299</v>
      </c>
      <c r="E31" s="15">
        <f t="shared" si="79"/>
        <v>1.6146707219946432</v>
      </c>
      <c r="F31" s="15">
        <f t="shared" si="79"/>
        <v>1.5987909789778805</v>
      </c>
      <c r="G31" s="15">
        <f t="shared" si="79"/>
        <v>1.5792489597701538</v>
      </c>
      <c r="H31" s="15">
        <f t="shared" si="79"/>
        <v>1.5553324338785774</v>
      </c>
      <c r="I31" s="15">
        <f t="shared" si="79"/>
        <v>1.5262591149037898</v>
      </c>
      <c r="J31" s="15">
        <f t="shared" si="79"/>
        <v>1.491205778488343</v>
      </c>
      <c r="K31" s="15">
        <f t="shared" si="79"/>
        <v>1.4493579107698089</v>
      </c>
      <c r="L31" s="9">
        <v>1.4</v>
      </c>
      <c r="M31" s="15">
        <f t="shared" si="79"/>
        <v>1.3425331626183397</v>
      </c>
      <c r="N31" s="15">
        <f t="shared" si="79"/>
        <v>1.2767554265688015</v>
      </c>
      <c r="O31" s="15">
        <f t="shared" si="79"/>
        <v>1.2028210772600723</v>
      </c>
      <c r="P31" s="15">
        <f t="shared" si="79"/>
        <v>1.1214232947108447</v>
      </c>
      <c r="Q31" s="15">
        <f t="shared" si="79"/>
        <v>1.0338282505027159</v>
      </c>
      <c r="R31" s="18">
        <f t="shared" si="79"/>
        <v>0.94184630043156692</v>
      </c>
      <c r="S31" s="18">
        <f t="shared" si="79"/>
        <v>0.84771034429620107</v>
      </c>
      <c r="T31" s="18">
        <f t="shared" si="79"/>
        <v>0.75387204130583296</v>
      </c>
      <c r="U31" s="18">
        <f t="shared" si="79"/>
        <v>0.6627523793282718</v>
      </c>
      <c r="V31" s="18">
        <f t="shared" si="79"/>
        <v>0.57649876634121588</v>
      </c>
      <c r="W31" s="18">
        <f t="shared" si="79"/>
        <v>0.49679852157926485</v>
      </c>
      <c r="X31" s="18">
        <f t="shared" si="79"/>
        <v>0.4247795658088534</v>
      </c>
      <c r="Y31" s="18">
        <f t="shared" si="79"/>
        <v>0.3610026051770065</v>
      </c>
      <c r="Z31" s="18">
        <f t="shared" si="79"/>
        <v>0.30552657211679346</v>
      </c>
      <c r="AA31" s="18">
        <f t="shared" si="79"/>
        <v>0.25801758975765099</v>
      </c>
      <c r="AB31" s="18">
        <f t="shared" si="79"/>
        <v>0.21787172886303777</v>
      </c>
      <c r="AC31" s="18">
        <f t="shared" si="79"/>
        <v>0.1843292465440714</v>
      </c>
      <c r="AD31" s="18">
        <f t="shared" si="79"/>
        <v>0.15656774727015091</v>
      </c>
      <c r="AE31" s="18">
        <f t="shared" si="79"/>
        <v>0.13377015688703423</v>
      </c>
      <c r="AF31" s="18">
        <f t="shared" si="79"/>
        <v>0.11516901628270219</v>
      </c>
    </row>
    <row r="32" spans="1:32" x14ac:dyDescent="0.2">
      <c r="A32" s="228">
        <v>13</v>
      </c>
      <c r="B32" s="15">
        <f>$L$32*((0.0278/(1+POWER(10,7.688-B28))+(1.1994/(1+POWER(10,B28-7.688)))))</f>
        <v>1.5286070797291729</v>
      </c>
      <c r="C32" s="15">
        <f t="shared" ref="C32:AF32" si="80">$L$32*((0.0278/(1+POWER(10,7.688-C28))+(1.1994/(1+POWER(10,C28-7.688)))))</f>
        <v>1.5208801462685377</v>
      </c>
      <c r="D32" s="15">
        <f t="shared" si="80"/>
        <v>1.5112655424113279</v>
      </c>
      <c r="E32" s="15">
        <f t="shared" si="80"/>
        <v>1.4993370989950261</v>
      </c>
      <c r="F32" s="15">
        <f t="shared" si="80"/>
        <v>1.4845916233366034</v>
      </c>
      <c r="G32" s="15">
        <f t="shared" si="80"/>
        <v>1.4664454626437142</v>
      </c>
      <c r="H32" s="15">
        <f t="shared" si="80"/>
        <v>1.4442372600301079</v>
      </c>
      <c r="I32" s="15">
        <f t="shared" si="80"/>
        <v>1.4172406066963765</v>
      </c>
      <c r="J32" s="15">
        <f t="shared" si="80"/>
        <v>1.3846910800248899</v>
      </c>
      <c r="K32" s="15">
        <f t="shared" si="80"/>
        <v>1.3458323457148227</v>
      </c>
      <c r="L32" s="9">
        <v>1.3</v>
      </c>
      <c r="M32" s="15">
        <f t="shared" si="80"/>
        <v>1.2466379367170297</v>
      </c>
      <c r="N32" s="15">
        <f t="shared" si="80"/>
        <v>1.1855586103853157</v>
      </c>
      <c r="O32" s="15">
        <f t="shared" si="80"/>
        <v>1.1169052860272102</v>
      </c>
      <c r="P32" s="15">
        <f t="shared" si="80"/>
        <v>1.0413216308029274</v>
      </c>
      <c r="Q32" s="18">
        <f t="shared" si="80"/>
        <v>0.95998337546680779</v>
      </c>
      <c r="R32" s="18">
        <f t="shared" si="80"/>
        <v>0.87457156468645503</v>
      </c>
      <c r="S32" s="18">
        <f t="shared" si="80"/>
        <v>0.78715960541790109</v>
      </c>
      <c r="T32" s="18">
        <f t="shared" si="80"/>
        <v>0.70002403835541638</v>
      </c>
      <c r="U32" s="18">
        <f t="shared" si="80"/>
        <v>0.61541292366196676</v>
      </c>
      <c r="V32" s="18">
        <f t="shared" si="80"/>
        <v>0.53532028303112911</v>
      </c>
      <c r="W32" s="18">
        <f t="shared" si="80"/>
        <v>0.46131291289503168</v>
      </c>
      <c r="X32" s="18">
        <f t="shared" si="80"/>
        <v>0.39443816825107819</v>
      </c>
      <c r="Y32" s="18">
        <f t="shared" si="80"/>
        <v>0.33521670480722038</v>
      </c>
      <c r="Z32" s="18">
        <f t="shared" si="80"/>
        <v>0.28370324553702253</v>
      </c>
      <c r="AA32" s="18">
        <f t="shared" si="80"/>
        <v>0.23958776191781878</v>
      </c>
      <c r="AB32" s="18">
        <f t="shared" si="80"/>
        <v>0.20230946251567794</v>
      </c>
      <c r="AC32" s="18">
        <f t="shared" si="80"/>
        <v>0.17116287179092346</v>
      </c>
      <c r="AD32" s="18">
        <f t="shared" si="80"/>
        <v>0.14538433675085444</v>
      </c>
      <c r="AE32" s="18">
        <f t="shared" si="80"/>
        <v>0.12421514568081753</v>
      </c>
      <c r="AF32" s="18">
        <f t="shared" si="80"/>
        <v>0.10694265797679491</v>
      </c>
    </row>
    <row r="33" spans="1:32" x14ac:dyDescent="0.2">
      <c r="A33" s="228">
        <v>14</v>
      </c>
      <c r="B33" s="15">
        <f>$L$33*((0.0278/(1+POWER(10,7.688-B28))+(1.1994/(1+POWER(10,B28-7.688)))))</f>
        <v>1.4110219197500056</v>
      </c>
      <c r="C33" s="15">
        <f t="shared" ref="C33:AF33" si="81">$L$33*((0.0278/(1+POWER(10,7.688-C28))+(1.1994/(1+POWER(10,C28-7.688)))))</f>
        <v>1.4038893657863423</v>
      </c>
      <c r="D33" s="15">
        <f t="shared" si="81"/>
        <v>1.3950143468412257</v>
      </c>
      <c r="E33" s="15">
        <f t="shared" si="81"/>
        <v>1.3840034759954085</v>
      </c>
      <c r="F33" s="15">
        <f t="shared" si="81"/>
        <v>1.3703922676953262</v>
      </c>
      <c r="G33" s="15">
        <f t="shared" si="81"/>
        <v>1.3536419655172747</v>
      </c>
      <c r="H33" s="15">
        <f t="shared" si="81"/>
        <v>1.3331420861816379</v>
      </c>
      <c r="I33" s="15">
        <f t="shared" si="81"/>
        <v>1.3082220984889628</v>
      </c>
      <c r="J33" s="15">
        <f t="shared" si="81"/>
        <v>1.2781763815614369</v>
      </c>
      <c r="K33" s="15">
        <f t="shared" si="81"/>
        <v>1.2423067806598362</v>
      </c>
      <c r="L33" s="9">
        <v>1.2</v>
      </c>
      <c r="M33" s="15">
        <f t="shared" si="81"/>
        <v>1.1507427108157198</v>
      </c>
      <c r="N33" s="15">
        <f t="shared" si="81"/>
        <v>1.09436179420183</v>
      </c>
      <c r="O33" s="15">
        <f t="shared" si="81"/>
        <v>1.0309894947943476</v>
      </c>
      <c r="P33" s="18">
        <f t="shared" si="81"/>
        <v>0.96121996689500977</v>
      </c>
      <c r="Q33" s="18">
        <f t="shared" si="81"/>
        <v>0.88613850043089937</v>
      </c>
      <c r="R33" s="18">
        <f t="shared" si="81"/>
        <v>0.80729682894134303</v>
      </c>
      <c r="S33" s="18">
        <f t="shared" si="81"/>
        <v>0.72660886653960099</v>
      </c>
      <c r="T33" s="18">
        <f t="shared" si="81"/>
        <v>0.64617603540499968</v>
      </c>
      <c r="U33" s="18">
        <f t="shared" si="81"/>
        <v>0.5680734679956615</v>
      </c>
      <c r="V33" s="18">
        <f t="shared" si="81"/>
        <v>0.49414179972104222</v>
      </c>
      <c r="W33" s="18">
        <f t="shared" si="81"/>
        <v>0.42582730421079845</v>
      </c>
      <c r="X33" s="18">
        <f t="shared" si="81"/>
        <v>0.36409677069330293</v>
      </c>
      <c r="Y33" s="18">
        <f t="shared" si="81"/>
        <v>0.30943080443743415</v>
      </c>
      <c r="Z33" s="18">
        <f t="shared" si="81"/>
        <v>0.26187991895725155</v>
      </c>
      <c r="AA33" s="18">
        <f t="shared" si="81"/>
        <v>0.22115793407798656</v>
      </c>
      <c r="AB33" s="18">
        <f t="shared" si="81"/>
        <v>0.18674719616831809</v>
      </c>
      <c r="AC33" s="18">
        <f t="shared" si="81"/>
        <v>0.15799649703777549</v>
      </c>
      <c r="AD33" s="18">
        <f t="shared" si="81"/>
        <v>0.13420092623155791</v>
      </c>
      <c r="AE33" s="18">
        <f t="shared" si="81"/>
        <v>0.11466013447460077</v>
      </c>
      <c r="AF33" s="26">
        <f t="shared" si="81"/>
        <v>9.8716299670887589E-2</v>
      </c>
    </row>
    <row r="34" spans="1:32" x14ac:dyDescent="0.2">
      <c r="A34" s="228">
        <v>15</v>
      </c>
      <c r="B34" s="15">
        <f>$L$34*((0.0278/(1+POWER(10,7.688-B28))+(1.1994/(1+POWER(10,B28-7.688)))))</f>
        <v>1.2934367597708387</v>
      </c>
      <c r="C34" s="15">
        <f t="shared" ref="C34:AF34" si="82">$L$34*((0.0278/(1+POWER(10,7.688-C28))+(1.1994/(1+POWER(10,C28-7.688)))))</f>
        <v>1.2868985853041472</v>
      </c>
      <c r="D34" s="15">
        <f t="shared" si="82"/>
        <v>1.2787631512711237</v>
      </c>
      <c r="E34" s="15">
        <f t="shared" si="82"/>
        <v>1.2686698529957914</v>
      </c>
      <c r="F34" s="15">
        <f t="shared" si="82"/>
        <v>1.2561929120540491</v>
      </c>
      <c r="G34" s="15">
        <f t="shared" si="82"/>
        <v>1.2408384683908351</v>
      </c>
      <c r="H34" s="15">
        <f t="shared" si="82"/>
        <v>1.2220469123331683</v>
      </c>
      <c r="I34" s="15">
        <f t="shared" si="82"/>
        <v>1.1992035902815494</v>
      </c>
      <c r="J34" s="15">
        <f t="shared" si="82"/>
        <v>1.1716616830979838</v>
      </c>
      <c r="K34" s="15">
        <f t="shared" si="82"/>
        <v>1.13878121560485</v>
      </c>
      <c r="L34" s="15">
        <v>1.1000000000000001</v>
      </c>
      <c r="M34" s="15">
        <f t="shared" si="82"/>
        <v>1.0548474849144098</v>
      </c>
      <c r="N34" s="15">
        <f t="shared" si="82"/>
        <v>1.0031649780183443</v>
      </c>
      <c r="O34" s="18">
        <f t="shared" si="82"/>
        <v>0.94507370356148557</v>
      </c>
      <c r="P34" s="18">
        <f t="shared" si="82"/>
        <v>0.88111830298709237</v>
      </c>
      <c r="Q34" s="18">
        <f t="shared" si="82"/>
        <v>0.81229362539499117</v>
      </c>
      <c r="R34" s="18">
        <f t="shared" si="82"/>
        <v>0.74002209319623125</v>
      </c>
      <c r="S34" s="18">
        <f t="shared" si="82"/>
        <v>0.6660581276613009</v>
      </c>
      <c r="T34" s="18">
        <f t="shared" si="82"/>
        <v>0.5923280324545831</v>
      </c>
      <c r="U34" s="18">
        <f t="shared" si="82"/>
        <v>0.52073401232935645</v>
      </c>
      <c r="V34" s="18">
        <f t="shared" si="82"/>
        <v>0.45296331641095544</v>
      </c>
      <c r="W34" s="18">
        <f t="shared" si="82"/>
        <v>0.39034169552656528</v>
      </c>
      <c r="X34" s="18">
        <f t="shared" si="82"/>
        <v>0.33375537313552772</v>
      </c>
      <c r="Y34" s="18">
        <f t="shared" si="82"/>
        <v>0.28364490406764803</v>
      </c>
      <c r="Z34" s="18">
        <f t="shared" si="82"/>
        <v>0.24005659237748062</v>
      </c>
      <c r="AA34" s="18">
        <f t="shared" si="82"/>
        <v>0.20272810623815438</v>
      </c>
      <c r="AB34" s="18">
        <f t="shared" si="82"/>
        <v>0.17118492982095826</v>
      </c>
      <c r="AC34" s="18">
        <f t="shared" si="82"/>
        <v>0.14483012228462755</v>
      </c>
      <c r="AD34" s="18">
        <f t="shared" si="82"/>
        <v>0.12301751571226144</v>
      </c>
      <c r="AE34" s="18">
        <f t="shared" si="82"/>
        <v>0.10510512326838406</v>
      </c>
      <c r="AF34" s="26">
        <f t="shared" si="82"/>
        <v>9.04899413649803E-2</v>
      </c>
    </row>
    <row r="35" spans="1:32" x14ac:dyDescent="0.2">
      <c r="A35" s="228">
        <v>16</v>
      </c>
      <c r="B35" s="15">
        <f>$L$35*((0.0278/(1+POWER(10,7.688-B28))+(1.1994/(1+POWER(10,B28-7.688)))))</f>
        <v>1.1758515997916714</v>
      </c>
      <c r="C35" s="15">
        <f t="shared" ref="C35:AF35" si="83">$L$35*((0.0278/(1+POWER(10,7.688-C28))+(1.1994/(1+POWER(10,C28-7.688)))))</f>
        <v>1.169907804821952</v>
      </c>
      <c r="D35" s="15">
        <f t="shared" si="83"/>
        <v>1.1625119557010215</v>
      </c>
      <c r="E35" s="15">
        <f t="shared" si="83"/>
        <v>1.1533362299961738</v>
      </c>
      <c r="F35" s="15">
        <f t="shared" si="83"/>
        <v>1.1419935564127719</v>
      </c>
      <c r="G35" s="15">
        <f t="shared" si="83"/>
        <v>1.1280349712643956</v>
      </c>
      <c r="H35" s="15">
        <f t="shared" si="83"/>
        <v>1.1109517384846983</v>
      </c>
      <c r="I35" s="15">
        <f t="shared" si="83"/>
        <v>1.0901850820741357</v>
      </c>
      <c r="J35" s="15">
        <f t="shared" si="83"/>
        <v>1.0651469846345307</v>
      </c>
      <c r="K35" s="15">
        <f t="shared" si="83"/>
        <v>1.0352556505498636</v>
      </c>
      <c r="L35" s="15">
        <v>1</v>
      </c>
      <c r="M35" s="18">
        <f t="shared" si="83"/>
        <v>0.95895225901309977</v>
      </c>
      <c r="N35" s="18">
        <f t="shared" si="83"/>
        <v>0.91196816183485829</v>
      </c>
      <c r="O35" s="18">
        <f t="shared" si="83"/>
        <v>0.85915791232862315</v>
      </c>
      <c r="P35" s="18">
        <f t="shared" si="83"/>
        <v>0.80101663907917486</v>
      </c>
      <c r="Q35" s="18">
        <f t="shared" si="83"/>
        <v>0.73844875035908286</v>
      </c>
      <c r="R35" s="18">
        <f t="shared" si="83"/>
        <v>0.67274735745111924</v>
      </c>
      <c r="S35" s="18">
        <f t="shared" si="83"/>
        <v>0.60550738878300081</v>
      </c>
      <c r="T35" s="18">
        <f t="shared" si="83"/>
        <v>0.5384800295041664</v>
      </c>
      <c r="U35" s="18">
        <f t="shared" si="83"/>
        <v>0.4733945566630513</v>
      </c>
      <c r="V35" s="18">
        <f t="shared" si="83"/>
        <v>0.41178483310086855</v>
      </c>
      <c r="W35" s="18">
        <f t="shared" si="83"/>
        <v>0.35485608684233205</v>
      </c>
      <c r="X35" s="18">
        <f t="shared" si="83"/>
        <v>0.30341397557775246</v>
      </c>
      <c r="Y35" s="18">
        <f t="shared" si="83"/>
        <v>0.2578590036978618</v>
      </c>
      <c r="Z35" s="18">
        <f t="shared" si="83"/>
        <v>0.21823326579770963</v>
      </c>
      <c r="AA35" s="18">
        <f t="shared" si="83"/>
        <v>0.18429827839832214</v>
      </c>
      <c r="AB35" s="18">
        <f t="shared" si="83"/>
        <v>0.1556226634735984</v>
      </c>
      <c r="AC35" s="18">
        <f t="shared" si="83"/>
        <v>0.13166374753147958</v>
      </c>
      <c r="AD35" s="18">
        <f t="shared" si="83"/>
        <v>0.11183410519296494</v>
      </c>
      <c r="AE35" s="26">
        <f t="shared" si="83"/>
        <v>9.5550112062167319E-2</v>
      </c>
      <c r="AF35" s="26">
        <f t="shared" si="83"/>
        <v>8.2263583059072998E-2</v>
      </c>
    </row>
    <row r="36" spans="1:32" x14ac:dyDescent="0.2">
      <c r="A36" s="228">
        <v>17</v>
      </c>
      <c r="B36" s="15">
        <f>$L$36*((0.0278/(1+POWER(10,7.688-B28))+(1.1994/(1+POWER(10,B28-7.688)))))</f>
        <v>1.1523345677958379</v>
      </c>
      <c r="C36" s="15">
        <f t="shared" ref="C36:K36" si="84">$L$36*((0.0278/(1+POWER(10,7.688-C28))+(1.1994/(1+POWER(10,C28-7.688)))))</f>
        <v>1.1465096487255129</v>
      </c>
      <c r="D36" s="15">
        <f t="shared" si="84"/>
        <v>1.1392617165870011</v>
      </c>
      <c r="E36" s="15">
        <f t="shared" si="84"/>
        <v>1.1302695053962504</v>
      </c>
      <c r="F36" s="15">
        <f t="shared" si="84"/>
        <v>1.1191536852845165</v>
      </c>
      <c r="G36" s="15">
        <f t="shared" si="84"/>
        <v>1.1054742718391077</v>
      </c>
      <c r="H36" s="15">
        <f t="shared" si="84"/>
        <v>1.0887327037150043</v>
      </c>
      <c r="I36" s="15">
        <f t="shared" si="84"/>
        <v>1.068381380432653</v>
      </c>
      <c r="J36" s="15">
        <f t="shared" si="84"/>
        <v>1.04384404494184</v>
      </c>
      <c r="K36" s="15">
        <f t="shared" si="84"/>
        <v>1.0145505375388664</v>
      </c>
      <c r="L36" s="9">
        <v>0.98</v>
      </c>
      <c r="M36" s="18">
        <f t="shared" ref="M36:AF36" si="85">$L$36*((0.0278/(1+POWER(10,7.688-M28))+(1.1994/(1+POWER(10,M28-7.688)))))</f>
        <v>0.93977321383283774</v>
      </c>
      <c r="N36" s="18">
        <f t="shared" si="85"/>
        <v>0.89372879859816112</v>
      </c>
      <c r="O36" s="18">
        <f t="shared" si="85"/>
        <v>0.84197475408205069</v>
      </c>
      <c r="P36" s="18">
        <f t="shared" si="85"/>
        <v>0.78499630629759132</v>
      </c>
      <c r="Q36" s="18">
        <f t="shared" si="85"/>
        <v>0.7236797753519012</v>
      </c>
      <c r="R36" s="18">
        <f t="shared" si="85"/>
        <v>0.65929241030209684</v>
      </c>
      <c r="S36" s="18">
        <f t="shared" si="85"/>
        <v>0.59339724100734081</v>
      </c>
      <c r="T36" s="18">
        <f t="shared" si="85"/>
        <v>0.52771042891408304</v>
      </c>
      <c r="U36" s="18">
        <f t="shared" si="85"/>
        <v>0.46392666552979028</v>
      </c>
      <c r="V36" s="18">
        <f t="shared" si="85"/>
        <v>0.40354913643885115</v>
      </c>
      <c r="W36" s="18">
        <f t="shared" si="85"/>
        <v>0.34775896510548543</v>
      </c>
      <c r="X36" s="18">
        <f t="shared" si="85"/>
        <v>0.29734569606619743</v>
      </c>
      <c r="Y36" s="18">
        <f t="shared" si="85"/>
        <v>0.25270182362390453</v>
      </c>
      <c r="Z36" s="18">
        <f t="shared" si="85"/>
        <v>0.21386860048175543</v>
      </c>
      <c r="AA36" s="18">
        <f t="shared" si="85"/>
        <v>0.1806123128303557</v>
      </c>
      <c r="AB36" s="18">
        <f t="shared" si="85"/>
        <v>0.15251021020412645</v>
      </c>
      <c r="AC36" s="18">
        <f t="shared" si="85"/>
        <v>0.12903047258084999</v>
      </c>
      <c r="AD36" s="18">
        <f t="shared" si="85"/>
        <v>0.10959742308910564</v>
      </c>
      <c r="AE36" s="26">
        <f t="shared" si="85"/>
        <v>9.3639109820923966E-2</v>
      </c>
      <c r="AF36" s="26">
        <f t="shared" si="85"/>
        <v>8.0618311397891537E-2</v>
      </c>
    </row>
    <row r="37" spans="1:32" x14ac:dyDescent="0.2">
      <c r="A37" s="228">
        <v>18</v>
      </c>
      <c r="B37" s="15">
        <f>$L$37*((0.0278/(1+POWER(10,7.688-B28))+(1.1994/(1+POWER(10,B28-7.688)))))</f>
        <v>1.0817834718083377</v>
      </c>
      <c r="C37" s="15">
        <f t="shared" ref="C37:K37" si="86">$L$37*((0.0278/(1+POWER(10,7.688-C28))+(1.1994/(1+POWER(10,C28-7.688)))))</f>
        <v>1.0763151804361959</v>
      </c>
      <c r="D37" s="15">
        <f t="shared" si="86"/>
        <v>1.0695109992449399</v>
      </c>
      <c r="E37" s="15">
        <f t="shared" si="86"/>
        <v>1.0610693315964799</v>
      </c>
      <c r="F37" s="15">
        <f t="shared" si="86"/>
        <v>1.0506340718997502</v>
      </c>
      <c r="G37" s="15">
        <f t="shared" si="86"/>
        <v>1.037792173563244</v>
      </c>
      <c r="H37" s="15">
        <f t="shared" si="86"/>
        <v>1.0220755994059225</v>
      </c>
      <c r="I37" s="15">
        <f t="shared" si="86"/>
        <v>1.0029702755082048</v>
      </c>
      <c r="J37" s="18">
        <f t="shared" si="86"/>
        <v>0.97993522586376836</v>
      </c>
      <c r="K37" s="18">
        <f t="shared" si="86"/>
        <v>0.95243519850587455</v>
      </c>
      <c r="L37" s="9">
        <v>0.92</v>
      </c>
      <c r="M37" s="18">
        <f t="shared" ref="M37:AF37" si="87">$L$37*((0.0278/(1+POWER(10,7.688-M28))+(1.1994/(1+POWER(10,M28-7.688)))))</f>
        <v>0.88223607829205186</v>
      </c>
      <c r="N37" s="18">
        <f t="shared" si="87"/>
        <v>0.83901070888806961</v>
      </c>
      <c r="O37" s="18">
        <f t="shared" si="87"/>
        <v>0.79042527934233331</v>
      </c>
      <c r="P37" s="18">
        <f t="shared" si="87"/>
        <v>0.7369353079528409</v>
      </c>
      <c r="Q37" s="18">
        <f t="shared" si="87"/>
        <v>0.67937285033035621</v>
      </c>
      <c r="R37" s="18">
        <f t="shared" si="87"/>
        <v>0.61892756885502975</v>
      </c>
      <c r="S37" s="18">
        <f t="shared" si="87"/>
        <v>0.55706679768036071</v>
      </c>
      <c r="T37" s="18">
        <f t="shared" si="87"/>
        <v>0.49540162714383312</v>
      </c>
      <c r="U37" s="18">
        <f t="shared" si="87"/>
        <v>0.43552299213000722</v>
      </c>
      <c r="V37" s="18">
        <f t="shared" si="87"/>
        <v>0.37884204645279906</v>
      </c>
      <c r="W37" s="18">
        <f t="shared" si="87"/>
        <v>0.3264675998949455</v>
      </c>
      <c r="X37" s="18">
        <f t="shared" si="87"/>
        <v>0.27914085753153228</v>
      </c>
      <c r="Y37" s="18">
        <f t="shared" si="87"/>
        <v>0.23723028340203287</v>
      </c>
      <c r="Z37" s="18">
        <f t="shared" si="87"/>
        <v>0.20077460453389287</v>
      </c>
      <c r="AA37" s="18">
        <f t="shared" si="87"/>
        <v>0.16955441612645636</v>
      </c>
      <c r="AB37" s="18">
        <f t="shared" si="87"/>
        <v>0.14317285039571054</v>
      </c>
      <c r="AC37" s="18">
        <f t="shared" si="87"/>
        <v>0.12113064772896122</v>
      </c>
      <c r="AD37" s="18">
        <f t="shared" si="87"/>
        <v>0.10288737677752775</v>
      </c>
      <c r="AE37" s="26">
        <f t="shared" si="87"/>
        <v>8.7906103097193933E-2</v>
      </c>
      <c r="AF37" s="26">
        <f t="shared" si="87"/>
        <v>7.5682496414347156E-2</v>
      </c>
    </row>
    <row r="38" spans="1:32" x14ac:dyDescent="0.2">
      <c r="A38" s="228">
        <v>19</v>
      </c>
      <c r="B38" s="15">
        <f>$L$38*((0.0278/(1+POWER(10,7.688-B28))+(1.1994/(1+POWER(10,B28-7.688)))))</f>
        <v>1.0112323758208375</v>
      </c>
      <c r="C38" s="15">
        <f t="shared" ref="C38:K38" si="88">$L$38*((0.0278/(1+POWER(10,7.688-C28))+(1.1994/(1+POWER(10,C28-7.688)))))</f>
        <v>1.0061207121468787</v>
      </c>
      <c r="D38" s="15">
        <f t="shared" si="88"/>
        <v>0.99976028190287847</v>
      </c>
      <c r="E38" s="18">
        <f t="shared" si="88"/>
        <v>0.99186915779670948</v>
      </c>
      <c r="F38" s="18">
        <f t="shared" si="88"/>
        <v>0.9821144585149838</v>
      </c>
      <c r="G38" s="18">
        <f t="shared" si="88"/>
        <v>0.97011007528738014</v>
      </c>
      <c r="H38" s="18">
        <f t="shared" si="88"/>
        <v>0.95541849509684051</v>
      </c>
      <c r="I38" s="18">
        <f t="shared" si="88"/>
        <v>0.93755917058375671</v>
      </c>
      <c r="J38" s="18">
        <f t="shared" si="88"/>
        <v>0.91602640678569636</v>
      </c>
      <c r="K38" s="18">
        <f t="shared" si="88"/>
        <v>0.89031985947288261</v>
      </c>
      <c r="L38" s="9">
        <v>0.86</v>
      </c>
      <c r="M38" s="18">
        <f t="shared" ref="M38:AF38" si="89">$L$38*((0.0278/(1+POWER(10,7.688-M28))+(1.1994/(1+POWER(10,M28-7.688)))))</f>
        <v>0.82469894275126576</v>
      </c>
      <c r="N38" s="18">
        <f t="shared" si="89"/>
        <v>0.7842926191779781</v>
      </c>
      <c r="O38" s="18">
        <f t="shared" si="89"/>
        <v>0.73887580460261593</v>
      </c>
      <c r="P38" s="18">
        <f t="shared" si="89"/>
        <v>0.68887430960809037</v>
      </c>
      <c r="Q38" s="18">
        <f t="shared" si="89"/>
        <v>0.63506592530881123</v>
      </c>
      <c r="R38" s="18">
        <f t="shared" si="89"/>
        <v>0.57856272740796255</v>
      </c>
      <c r="S38" s="18">
        <f t="shared" si="89"/>
        <v>0.52073635435338073</v>
      </c>
      <c r="T38" s="18">
        <f t="shared" si="89"/>
        <v>0.46309282537358309</v>
      </c>
      <c r="U38" s="18">
        <f t="shared" si="89"/>
        <v>0.40711931873022411</v>
      </c>
      <c r="V38" s="18">
        <f t="shared" si="89"/>
        <v>0.35413495646674698</v>
      </c>
      <c r="W38" s="18">
        <f t="shared" si="89"/>
        <v>0.30517623468440558</v>
      </c>
      <c r="X38" s="18">
        <f t="shared" si="89"/>
        <v>0.26093601899686714</v>
      </c>
      <c r="Y38" s="18">
        <f t="shared" si="89"/>
        <v>0.22175874318016114</v>
      </c>
      <c r="Z38" s="18">
        <f t="shared" si="89"/>
        <v>0.18768060858603028</v>
      </c>
      <c r="AA38" s="18">
        <f t="shared" si="89"/>
        <v>0.15849651942255705</v>
      </c>
      <c r="AB38" s="18">
        <f t="shared" si="89"/>
        <v>0.13383549058729463</v>
      </c>
      <c r="AC38" s="18">
        <f t="shared" si="89"/>
        <v>0.11323082287707244</v>
      </c>
      <c r="AD38" s="26">
        <f t="shared" si="89"/>
        <v>9.617733046594984E-2</v>
      </c>
      <c r="AE38" s="26">
        <f t="shared" si="89"/>
        <v>8.21730963734639E-2</v>
      </c>
      <c r="AF38" s="26">
        <f t="shared" si="89"/>
        <v>7.0746681430802774E-2</v>
      </c>
    </row>
    <row r="39" spans="1:32" x14ac:dyDescent="0.2">
      <c r="A39" s="228">
        <v>20</v>
      </c>
      <c r="B39" s="18">
        <f>$L$39*((0.0278/(1+POWER(10,7.688-B28))+(1.1994/(1+POWER(10,B28-7.688)))))</f>
        <v>0.9289227638354205</v>
      </c>
      <c r="C39" s="18">
        <f t="shared" ref="C39:K39" si="90">$L$39*((0.0278/(1+POWER(10,7.688-C28))+(1.1994/(1+POWER(10,C28-7.688)))))</f>
        <v>0.92422716580934217</v>
      </c>
      <c r="D39" s="18">
        <f t="shared" si="90"/>
        <v>0.918384445003807</v>
      </c>
      <c r="E39" s="18">
        <f t="shared" si="90"/>
        <v>0.91113562169697737</v>
      </c>
      <c r="F39" s="18">
        <f t="shared" si="90"/>
        <v>0.90217490956608981</v>
      </c>
      <c r="G39" s="18">
        <f t="shared" si="90"/>
        <v>0.89114762729887254</v>
      </c>
      <c r="H39" s="18">
        <f t="shared" si="90"/>
        <v>0.87765187340291173</v>
      </c>
      <c r="I39" s="18">
        <f t="shared" si="90"/>
        <v>0.86124621483856723</v>
      </c>
      <c r="J39" s="18">
        <f t="shared" si="90"/>
        <v>0.84146611786127934</v>
      </c>
      <c r="K39" s="18">
        <f t="shared" si="90"/>
        <v>0.8178519639343923</v>
      </c>
      <c r="L39" s="9">
        <v>0.79</v>
      </c>
      <c r="M39" s="18">
        <f t="shared" ref="M39:AF39" si="91">$L$39*((0.0278/(1+POWER(10,7.688-M28))+(1.1994/(1+POWER(10,M28-7.688)))))</f>
        <v>0.75757228462034887</v>
      </c>
      <c r="N39" s="18">
        <f t="shared" si="91"/>
        <v>0.72045484784953806</v>
      </c>
      <c r="O39" s="18">
        <f t="shared" si="91"/>
        <v>0.67873475073961231</v>
      </c>
      <c r="P39" s="18">
        <f t="shared" si="91"/>
        <v>0.63280314487254818</v>
      </c>
      <c r="Q39" s="18">
        <f t="shared" si="91"/>
        <v>0.58337451278367547</v>
      </c>
      <c r="R39" s="18">
        <f t="shared" si="91"/>
        <v>0.53147041238638426</v>
      </c>
      <c r="S39" s="18">
        <f t="shared" si="91"/>
        <v>0.47835083713857068</v>
      </c>
      <c r="T39" s="18">
        <f t="shared" si="91"/>
        <v>0.4253992233082915</v>
      </c>
      <c r="U39" s="18">
        <f t="shared" si="91"/>
        <v>0.37398169976381057</v>
      </c>
      <c r="V39" s="436">
        <f t="shared" si="91"/>
        <v>0.32531001814968619</v>
      </c>
      <c r="W39" s="18">
        <f t="shared" si="91"/>
        <v>0.28033630860544234</v>
      </c>
      <c r="X39" s="18">
        <f t="shared" si="91"/>
        <v>0.23969704070642445</v>
      </c>
      <c r="Y39" s="18">
        <f t="shared" si="91"/>
        <v>0.20370861292131084</v>
      </c>
      <c r="Z39" s="18">
        <f t="shared" si="91"/>
        <v>0.17240427998019062</v>
      </c>
      <c r="AA39" s="18">
        <f t="shared" si="91"/>
        <v>0.1455956399346745</v>
      </c>
      <c r="AB39" s="18">
        <f t="shared" si="91"/>
        <v>0.12294190414414274</v>
      </c>
      <c r="AC39" s="18">
        <f t="shared" si="91"/>
        <v>0.10401436054986887</v>
      </c>
      <c r="AD39" s="26">
        <f t="shared" si="91"/>
        <v>8.8348943102442304E-2</v>
      </c>
      <c r="AE39" s="26">
        <f t="shared" si="91"/>
        <v>7.548458852911219E-2</v>
      </c>
      <c r="AF39" s="26">
        <f t="shared" si="91"/>
        <v>6.4988230616667669E-2</v>
      </c>
    </row>
    <row r="40" spans="1:32" x14ac:dyDescent="0.2">
      <c r="A40" s="228">
        <v>21</v>
      </c>
      <c r="B40" s="18">
        <f>$L$40*((0.0278/(1+POWER(10,7.688-B28))+(1.1994/(1+POWER(10,B28-7.688)))))</f>
        <v>0.85837166784792007</v>
      </c>
      <c r="C40" s="18">
        <f t="shared" ref="C40:K40" si="92">$L$40*((0.0278/(1+POWER(10,7.688-C28))+(1.1994/(1+POWER(10,C28-7.688)))))</f>
        <v>0.85403269752002497</v>
      </c>
      <c r="D40" s="18">
        <f t="shared" si="92"/>
        <v>0.84863372766174572</v>
      </c>
      <c r="E40" s="18">
        <f t="shared" si="92"/>
        <v>0.84193544789720687</v>
      </c>
      <c r="F40" s="18">
        <f t="shared" si="92"/>
        <v>0.8336552961813235</v>
      </c>
      <c r="G40" s="18">
        <f t="shared" si="92"/>
        <v>0.82346552902300874</v>
      </c>
      <c r="H40" s="18">
        <f t="shared" si="92"/>
        <v>0.81099476909382973</v>
      </c>
      <c r="I40" s="18">
        <f t="shared" si="92"/>
        <v>0.79583510991411899</v>
      </c>
      <c r="J40" s="18">
        <f t="shared" si="92"/>
        <v>0.77755729878320745</v>
      </c>
      <c r="K40" s="18">
        <f t="shared" si="92"/>
        <v>0.75573662490140037</v>
      </c>
      <c r="L40" s="18">
        <v>0.73</v>
      </c>
      <c r="M40" s="18">
        <f t="shared" ref="M40:AF40" si="93">$L$40*((0.0278/(1+POWER(10,7.688-M28))+(1.1994/(1+POWER(10,M28-7.688)))))</f>
        <v>0.70003514907956277</v>
      </c>
      <c r="N40" s="18">
        <f t="shared" si="93"/>
        <v>0.66573675813944655</v>
      </c>
      <c r="O40" s="18">
        <f t="shared" si="93"/>
        <v>0.62718527599989493</v>
      </c>
      <c r="P40" s="18">
        <f t="shared" si="93"/>
        <v>0.58474214652779766</v>
      </c>
      <c r="Q40" s="18">
        <f t="shared" si="93"/>
        <v>0.53906758776213048</v>
      </c>
      <c r="R40" s="18">
        <f t="shared" si="93"/>
        <v>0.49110557093931706</v>
      </c>
      <c r="S40" s="18">
        <f t="shared" si="93"/>
        <v>0.44202039381159058</v>
      </c>
      <c r="T40" s="18">
        <f t="shared" si="93"/>
        <v>0.39309042153804147</v>
      </c>
      <c r="U40" s="18">
        <f t="shared" si="93"/>
        <v>0.34557802636402746</v>
      </c>
      <c r="V40" s="18">
        <f t="shared" si="93"/>
        <v>0.30060292816363404</v>
      </c>
      <c r="W40" s="18">
        <f t="shared" si="93"/>
        <v>0.25904494339490242</v>
      </c>
      <c r="X40" s="18">
        <f t="shared" si="93"/>
        <v>0.2214922021717593</v>
      </c>
      <c r="Y40" s="18">
        <f t="shared" si="93"/>
        <v>0.1882370726994391</v>
      </c>
      <c r="Z40" s="18">
        <f t="shared" si="93"/>
        <v>0.15931028403232803</v>
      </c>
      <c r="AA40" s="18">
        <f t="shared" si="93"/>
        <v>0.13453774323077516</v>
      </c>
      <c r="AB40" s="18">
        <f t="shared" si="93"/>
        <v>0.11360454433572684</v>
      </c>
      <c r="AC40" s="26">
        <f t="shared" si="93"/>
        <v>9.6114535697980091E-2</v>
      </c>
      <c r="AD40" s="26">
        <f t="shared" si="93"/>
        <v>8.1638896790864404E-2</v>
      </c>
      <c r="AE40" s="26">
        <f t="shared" si="93"/>
        <v>6.9751581805382143E-2</v>
      </c>
      <c r="AF40" s="26">
        <f t="shared" si="93"/>
        <v>6.0052415633123288E-2</v>
      </c>
    </row>
    <row r="41" spans="1:32" x14ac:dyDescent="0.2">
      <c r="A41" s="228">
        <v>22</v>
      </c>
      <c r="B41" s="18">
        <f>$L$41*((0.0278/(1+POWER(10,7.688-B28))+(1.1994/(1+POWER(10,B28-7.688)))))</f>
        <v>0.82309611985416997</v>
      </c>
      <c r="C41" s="18">
        <f t="shared" ref="C41:K41" si="94">$L$41*((0.0278/(1+POWER(10,7.688-C28))+(1.1994/(1+POWER(10,C28-7.688)))))</f>
        <v>0.81893546337536638</v>
      </c>
      <c r="D41" s="18">
        <f t="shared" si="94"/>
        <v>0.81375836899071496</v>
      </c>
      <c r="E41" s="18">
        <f t="shared" si="94"/>
        <v>0.80733536099732162</v>
      </c>
      <c r="F41" s="18">
        <f t="shared" si="94"/>
        <v>0.79939548948894024</v>
      </c>
      <c r="G41" s="18">
        <f t="shared" si="94"/>
        <v>0.78962447988507689</v>
      </c>
      <c r="H41" s="18">
        <f t="shared" si="94"/>
        <v>0.77766621693928872</v>
      </c>
      <c r="I41" s="18">
        <f t="shared" si="94"/>
        <v>0.76312955745189492</v>
      </c>
      <c r="J41" s="18">
        <f t="shared" si="94"/>
        <v>0.74560288924417151</v>
      </c>
      <c r="K41" s="18">
        <f t="shared" si="94"/>
        <v>0.72467895538490446</v>
      </c>
      <c r="L41" s="9">
        <v>0.7</v>
      </c>
      <c r="M41" s="18">
        <f t="shared" ref="M41:AF41" si="95">$L$41*((0.0278/(1+POWER(10,7.688-M28))+(1.1994/(1+POWER(10,M28-7.688)))))</f>
        <v>0.67126658130916983</v>
      </c>
      <c r="N41" s="18">
        <f t="shared" si="95"/>
        <v>0.63837771328440074</v>
      </c>
      <c r="O41" s="18">
        <f t="shared" si="95"/>
        <v>0.60141053863003613</v>
      </c>
      <c r="P41" s="18">
        <f t="shared" si="95"/>
        <v>0.56071164735542234</v>
      </c>
      <c r="Q41" s="18">
        <f t="shared" si="95"/>
        <v>0.51691412525135794</v>
      </c>
      <c r="R41" s="18">
        <f t="shared" si="95"/>
        <v>0.47092315021578346</v>
      </c>
      <c r="S41" s="18">
        <f t="shared" si="95"/>
        <v>0.42385517214810053</v>
      </c>
      <c r="T41" s="18">
        <f t="shared" si="95"/>
        <v>0.37693602065291648</v>
      </c>
      <c r="U41" s="18">
        <f t="shared" si="95"/>
        <v>0.3313761896641359</v>
      </c>
      <c r="V41" s="18">
        <f t="shared" si="95"/>
        <v>0.28824938317060794</v>
      </c>
      <c r="W41" s="18">
        <f t="shared" si="95"/>
        <v>0.24839926078963243</v>
      </c>
      <c r="X41" s="18">
        <f t="shared" si="95"/>
        <v>0.2123897829044267</v>
      </c>
      <c r="Y41" s="18">
        <f t="shared" si="95"/>
        <v>0.18050130258850325</v>
      </c>
      <c r="Z41" s="18">
        <f t="shared" si="95"/>
        <v>0.15276328605839673</v>
      </c>
      <c r="AA41" s="18">
        <f t="shared" si="95"/>
        <v>0.12900879487882549</v>
      </c>
      <c r="AB41" s="18">
        <f t="shared" si="95"/>
        <v>0.10893586443151888</v>
      </c>
      <c r="AC41" s="26">
        <f t="shared" si="95"/>
        <v>9.2164623272035701E-2</v>
      </c>
      <c r="AD41" s="26">
        <f t="shared" si="95"/>
        <v>7.8283873635075454E-2</v>
      </c>
      <c r="AE41" s="26">
        <f t="shared" si="95"/>
        <v>6.6885078443517113E-2</v>
      </c>
      <c r="AF41" s="26">
        <f t="shared" si="95"/>
        <v>5.7584508141351097E-2</v>
      </c>
    </row>
    <row r="42" spans="1:32" x14ac:dyDescent="0.2">
      <c r="A42" s="228">
        <v>23</v>
      </c>
      <c r="B42" s="18">
        <f>$L$42*((0.0278/(1+POWER(10,7.688-B28))+(1.1994/(1+POWER(10,B28-7.688)))))</f>
        <v>0.75254502386666977</v>
      </c>
      <c r="C42" s="18">
        <f t="shared" ref="C42:K42" si="96">$L$42*((0.0278/(1+POWER(10,7.688-C28))+(1.1994/(1+POWER(10,C28-7.688)))))</f>
        <v>0.7487409950860493</v>
      </c>
      <c r="D42" s="18">
        <f t="shared" si="96"/>
        <v>0.74400765164865379</v>
      </c>
      <c r="E42" s="18">
        <f t="shared" si="96"/>
        <v>0.73813518719755122</v>
      </c>
      <c r="F42" s="18">
        <f t="shared" si="96"/>
        <v>0.73087587610417404</v>
      </c>
      <c r="G42" s="18">
        <f t="shared" si="96"/>
        <v>0.7219423816092132</v>
      </c>
      <c r="H42" s="18">
        <f t="shared" si="96"/>
        <v>0.71100911263020694</v>
      </c>
      <c r="I42" s="18">
        <f t="shared" si="96"/>
        <v>0.6977184525274468</v>
      </c>
      <c r="J42" s="18">
        <f t="shared" si="96"/>
        <v>0.68169407016609973</v>
      </c>
      <c r="K42" s="18">
        <f t="shared" si="96"/>
        <v>0.66256361635191274</v>
      </c>
      <c r="L42" s="9">
        <v>0.64</v>
      </c>
      <c r="M42" s="18">
        <f t="shared" ref="M42:AF42" si="97">$L$42*((0.0278/(1+POWER(10,7.688-M28))+(1.1994/(1+POWER(10,M28-7.688)))))</f>
        <v>0.61372944576838384</v>
      </c>
      <c r="N42" s="18">
        <f t="shared" si="97"/>
        <v>0.58365962357430934</v>
      </c>
      <c r="O42" s="18">
        <f t="shared" si="97"/>
        <v>0.54986106389031886</v>
      </c>
      <c r="P42" s="18">
        <f t="shared" si="97"/>
        <v>0.51265064901067192</v>
      </c>
      <c r="Q42" s="18">
        <f t="shared" si="97"/>
        <v>0.47260720022981306</v>
      </c>
      <c r="R42" s="18">
        <f t="shared" si="97"/>
        <v>0.43055830876871631</v>
      </c>
      <c r="S42" s="18">
        <f t="shared" si="97"/>
        <v>0.38752472882112055</v>
      </c>
      <c r="T42" s="18">
        <f t="shared" si="97"/>
        <v>0.34462721888266651</v>
      </c>
      <c r="U42" s="18">
        <f t="shared" si="97"/>
        <v>0.30297251626435284</v>
      </c>
      <c r="V42" s="18">
        <f t="shared" si="97"/>
        <v>0.26354229318455585</v>
      </c>
      <c r="W42" s="18">
        <f t="shared" si="97"/>
        <v>0.22710789557909253</v>
      </c>
      <c r="X42" s="18">
        <f t="shared" si="97"/>
        <v>0.19418494436976158</v>
      </c>
      <c r="Y42" s="18">
        <f t="shared" si="97"/>
        <v>0.16502976236663155</v>
      </c>
      <c r="Z42" s="18">
        <f t="shared" si="97"/>
        <v>0.13966929011053417</v>
      </c>
      <c r="AA42" s="18">
        <f t="shared" si="97"/>
        <v>0.11795089817492617</v>
      </c>
      <c r="AB42" s="18">
        <f t="shared" si="97"/>
        <v>9.9598504623102976E-2</v>
      </c>
      <c r="AC42" s="26">
        <f t="shared" si="97"/>
        <v>8.4264798420146933E-2</v>
      </c>
      <c r="AD42" s="26">
        <f t="shared" si="97"/>
        <v>7.1573827323497569E-2</v>
      </c>
      <c r="AE42" s="26">
        <f t="shared" si="97"/>
        <v>6.1152071719787086E-2</v>
      </c>
      <c r="AF42" s="26">
        <f t="shared" si="97"/>
        <v>5.2648693157806722E-2</v>
      </c>
    </row>
    <row r="43" spans="1:32" x14ac:dyDescent="0.2">
      <c r="A43" s="228">
        <v>24</v>
      </c>
      <c r="B43" s="18">
        <f>$L$43*((0.0278/(1+POWER(10,7.688-B28))+(1.1994/(1+POWER(10,B28-7.688)))))</f>
        <v>0.65847689588333602</v>
      </c>
      <c r="C43" s="18">
        <f t="shared" ref="C43:K43" si="98">$L$43*((0.0278/(1+POWER(10,7.688-C28))+(1.1994/(1+POWER(10,C28-7.688)))))</f>
        <v>0.65514837070029319</v>
      </c>
      <c r="D43" s="18">
        <f t="shared" si="98"/>
        <v>0.65100669519257215</v>
      </c>
      <c r="E43" s="18">
        <f t="shared" si="98"/>
        <v>0.6458682887978574</v>
      </c>
      <c r="F43" s="18">
        <f t="shared" si="98"/>
        <v>0.63951639159115237</v>
      </c>
      <c r="G43" s="18">
        <f t="shared" si="98"/>
        <v>0.63169958390806158</v>
      </c>
      <c r="H43" s="18">
        <f t="shared" si="98"/>
        <v>0.62213297355143116</v>
      </c>
      <c r="I43" s="18">
        <f t="shared" si="98"/>
        <v>0.61050364596151607</v>
      </c>
      <c r="J43" s="18">
        <f t="shared" si="98"/>
        <v>0.59648231139533725</v>
      </c>
      <c r="K43" s="18">
        <f t="shared" si="98"/>
        <v>0.57974316430792361</v>
      </c>
      <c r="L43" s="9">
        <v>0.56000000000000005</v>
      </c>
      <c r="M43" s="18">
        <f t="shared" ref="M43:AF43" si="99">$L$43*((0.0278/(1+POWER(10,7.688-M28))+(1.1994/(1+POWER(10,M28-7.688)))))</f>
        <v>0.53701326504733593</v>
      </c>
      <c r="N43" s="18">
        <f t="shared" si="99"/>
        <v>0.51070217062752066</v>
      </c>
      <c r="O43" s="18">
        <f t="shared" si="99"/>
        <v>0.48112843090402901</v>
      </c>
      <c r="P43" s="18">
        <f t="shared" si="99"/>
        <v>0.44856931788433796</v>
      </c>
      <c r="Q43" s="18">
        <f t="shared" si="99"/>
        <v>0.41353130020108642</v>
      </c>
      <c r="R43" s="18">
        <f t="shared" si="99"/>
        <v>0.37673852017262682</v>
      </c>
      <c r="S43" s="18">
        <f t="shared" si="99"/>
        <v>0.3390841377184805</v>
      </c>
      <c r="T43" s="18">
        <f t="shared" si="99"/>
        <v>0.30154881652233323</v>
      </c>
      <c r="U43" s="18">
        <f t="shared" si="99"/>
        <v>0.26510095173130876</v>
      </c>
      <c r="V43" s="18">
        <f t="shared" si="99"/>
        <v>0.23059950653648642</v>
      </c>
      <c r="W43" s="18">
        <f t="shared" si="99"/>
        <v>0.19871940863170598</v>
      </c>
      <c r="X43" s="18">
        <f t="shared" si="99"/>
        <v>0.1699118263235414</v>
      </c>
      <c r="Y43" s="18">
        <f t="shared" si="99"/>
        <v>0.14440104207080262</v>
      </c>
      <c r="Z43" s="18">
        <f t="shared" si="99"/>
        <v>0.12221062884671741</v>
      </c>
      <c r="AA43" s="18">
        <f t="shared" si="99"/>
        <v>0.10320703590306041</v>
      </c>
      <c r="AB43" s="26">
        <f t="shared" si="99"/>
        <v>8.714869154521511E-2</v>
      </c>
      <c r="AC43" s="26">
        <f t="shared" si="99"/>
        <v>7.3731698617628572E-2</v>
      </c>
      <c r="AD43" s="26">
        <f t="shared" si="99"/>
        <v>6.2627098908060369E-2</v>
      </c>
      <c r="AE43" s="26">
        <f t="shared" si="99"/>
        <v>5.3508062754813707E-2</v>
      </c>
      <c r="AF43" s="26">
        <f t="shared" si="99"/>
        <v>4.606760651308088E-2</v>
      </c>
    </row>
    <row r="44" spans="1:32" x14ac:dyDescent="0.2">
      <c r="A44" s="228">
        <v>25</v>
      </c>
      <c r="B44" s="18">
        <f>$L$44*((0.0278/(1+POWER(10,7.688-B28))+(1.1994/(1+POWER(10,B28-7.688)))))</f>
        <v>0.64671837988541936</v>
      </c>
      <c r="C44" s="18">
        <f t="shared" ref="C44:K44" si="100">$L$44*((0.0278/(1+POWER(10,7.688-C28))+(1.1994/(1+POWER(10,C28-7.688)))))</f>
        <v>0.64344929265207362</v>
      </c>
      <c r="D44" s="18">
        <f t="shared" si="100"/>
        <v>0.63938157563556186</v>
      </c>
      <c r="E44" s="18">
        <f t="shared" si="100"/>
        <v>0.63433492649789569</v>
      </c>
      <c r="F44" s="18">
        <f t="shared" si="100"/>
        <v>0.62809645602702457</v>
      </c>
      <c r="G44" s="18">
        <f t="shared" si="100"/>
        <v>0.62041923419541756</v>
      </c>
      <c r="H44" s="18">
        <f t="shared" si="100"/>
        <v>0.61102345616658416</v>
      </c>
      <c r="I44" s="18">
        <f t="shared" si="100"/>
        <v>0.59960179514077472</v>
      </c>
      <c r="J44" s="18">
        <f t="shared" si="100"/>
        <v>0.5858308415489919</v>
      </c>
      <c r="K44" s="18">
        <f t="shared" si="100"/>
        <v>0.56939060780242501</v>
      </c>
      <c r="L44" s="9">
        <v>0.55000000000000004</v>
      </c>
      <c r="M44" s="18">
        <f t="shared" ref="M44:AF44" si="101">$L$44*((0.0278/(1+POWER(10,7.688-M28))+(1.1994/(1+POWER(10,M28-7.688)))))</f>
        <v>0.52742374245720491</v>
      </c>
      <c r="N44" s="18">
        <f t="shared" si="101"/>
        <v>0.50158248900917213</v>
      </c>
      <c r="O44" s="18">
        <f t="shared" si="101"/>
        <v>0.47253685178074278</v>
      </c>
      <c r="P44" s="18">
        <f t="shared" si="101"/>
        <v>0.44055915149354619</v>
      </c>
      <c r="Q44" s="18">
        <f t="shared" si="101"/>
        <v>0.40614681269749559</v>
      </c>
      <c r="R44" s="18">
        <f t="shared" si="101"/>
        <v>0.37001104659811562</v>
      </c>
      <c r="S44" s="18">
        <f t="shared" si="101"/>
        <v>0.33302906383065045</v>
      </c>
      <c r="T44" s="18">
        <f t="shared" si="101"/>
        <v>0.29616401622729155</v>
      </c>
      <c r="U44" s="18">
        <f t="shared" si="101"/>
        <v>0.26036700616467823</v>
      </c>
      <c r="V44" s="18">
        <f t="shared" si="101"/>
        <v>0.22648165820547772</v>
      </c>
      <c r="W44" s="18">
        <f t="shared" si="101"/>
        <v>0.19517084776328264</v>
      </c>
      <c r="X44" s="18">
        <f t="shared" si="101"/>
        <v>0.16687768656776386</v>
      </c>
      <c r="Y44" s="18">
        <f t="shared" si="101"/>
        <v>0.14182245203382401</v>
      </c>
      <c r="Z44" s="18">
        <f t="shared" si="101"/>
        <v>0.12002829618874031</v>
      </c>
      <c r="AA44" s="18">
        <f t="shared" si="101"/>
        <v>0.10136405311907719</v>
      </c>
      <c r="AB44" s="26">
        <f t="shared" si="101"/>
        <v>8.559246491047913E-2</v>
      </c>
      <c r="AC44" s="26">
        <f t="shared" si="101"/>
        <v>7.2415061142313775E-2</v>
      </c>
      <c r="AD44" s="26">
        <f t="shared" si="101"/>
        <v>6.1508757856130719E-2</v>
      </c>
      <c r="AE44" s="26">
        <f t="shared" si="101"/>
        <v>5.255256163419203E-2</v>
      </c>
      <c r="AF44" s="26">
        <f t="shared" si="101"/>
        <v>4.524497068249015E-2</v>
      </c>
    </row>
    <row r="45" spans="1:32" x14ac:dyDescent="0.2">
      <c r="A45" s="228">
        <v>26</v>
      </c>
      <c r="B45" s="18">
        <f>$L$45*((0.0278/(1+POWER(10,7.688-B28))+(1.1994/(1+POWER(10,B28-7.688)))))</f>
        <v>0.59968431589375248</v>
      </c>
      <c r="C45" s="18">
        <f t="shared" ref="C45:K45" si="102">$L$45*((0.0278/(1+POWER(10,7.688-C28))+(1.1994/(1+POWER(10,C28-7.688)))))</f>
        <v>0.59665298045919557</v>
      </c>
      <c r="D45" s="18">
        <f t="shared" si="102"/>
        <v>0.59288109740752093</v>
      </c>
      <c r="E45" s="18">
        <f t="shared" si="102"/>
        <v>0.58820147729804861</v>
      </c>
      <c r="F45" s="18">
        <f t="shared" si="102"/>
        <v>0.58241671377051363</v>
      </c>
      <c r="G45" s="18">
        <f t="shared" si="102"/>
        <v>0.57529783534484169</v>
      </c>
      <c r="H45" s="18">
        <f t="shared" si="102"/>
        <v>0.56658538662719615</v>
      </c>
      <c r="I45" s="18">
        <f t="shared" si="102"/>
        <v>0.55599439185780919</v>
      </c>
      <c r="J45" s="18">
        <f t="shared" si="102"/>
        <v>0.54322496216361071</v>
      </c>
      <c r="K45" s="18">
        <f t="shared" si="102"/>
        <v>0.52798038178043039</v>
      </c>
      <c r="L45" s="18">
        <v>0.51</v>
      </c>
      <c r="M45" s="18">
        <f t="shared" ref="M45:AF45" si="103">$L$45*((0.0278/(1+POWER(10,7.688-M28))+(1.1994/(1+POWER(10,M28-7.688)))))</f>
        <v>0.4890656520966809</v>
      </c>
      <c r="N45" s="18">
        <f t="shared" si="103"/>
        <v>0.46510376253577773</v>
      </c>
      <c r="O45" s="18">
        <f t="shared" si="103"/>
        <v>0.43817053528759781</v>
      </c>
      <c r="P45" s="18">
        <f t="shared" si="103"/>
        <v>0.4085184859303792</v>
      </c>
      <c r="Q45" s="18">
        <f t="shared" si="103"/>
        <v>0.37660886268313226</v>
      </c>
      <c r="R45" s="18">
        <f t="shared" si="103"/>
        <v>0.34310115230007082</v>
      </c>
      <c r="S45" s="18">
        <f t="shared" si="103"/>
        <v>0.3088087682793304</v>
      </c>
      <c r="T45" s="18">
        <f t="shared" si="103"/>
        <v>0.27462481504712488</v>
      </c>
      <c r="U45" s="18">
        <f t="shared" si="103"/>
        <v>0.24143122389815616</v>
      </c>
      <c r="V45" s="18">
        <f t="shared" si="103"/>
        <v>0.21001026488144298</v>
      </c>
      <c r="W45" s="18">
        <f t="shared" si="103"/>
        <v>0.18097660428958934</v>
      </c>
      <c r="X45" s="18">
        <f t="shared" si="103"/>
        <v>0.15474112754465374</v>
      </c>
      <c r="Y45" s="18">
        <f t="shared" si="103"/>
        <v>0.13150809188590953</v>
      </c>
      <c r="Z45" s="18">
        <f t="shared" si="103"/>
        <v>0.11129896555683191</v>
      </c>
      <c r="AA45" s="26">
        <f t="shared" si="103"/>
        <v>9.3992121983144286E-2</v>
      </c>
      <c r="AB45" s="26">
        <f t="shared" si="103"/>
        <v>7.9367558371535182E-2</v>
      </c>
      <c r="AC45" s="26">
        <f t="shared" si="103"/>
        <v>6.7148511241054587E-2</v>
      </c>
      <c r="AD45" s="26">
        <f t="shared" si="103"/>
        <v>5.7035393648412119E-2</v>
      </c>
      <c r="AE45" s="26">
        <f t="shared" si="103"/>
        <v>4.8730557151705337E-2</v>
      </c>
      <c r="AF45" s="26">
        <f t="shared" si="103"/>
        <v>4.1954427360127229E-2</v>
      </c>
    </row>
    <row r="46" spans="1:32" x14ac:dyDescent="0.2">
      <c r="A46" s="228">
        <v>27</v>
      </c>
      <c r="B46" s="18">
        <f>$L$46*((0.0278/(1+POWER(10,7.688-B28))+(1.1994/(1+POWER(10,B28-7.688)))))</f>
        <v>0.5526502519020855</v>
      </c>
      <c r="C46" s="18">
        <f t="shared" ref="C46:K46" si="104">$L$46*((0.0278/(1+POWER(10,7.688-C28))+(1.1994/(1+POWER(10,C28-7.688)))))</f>
        <v>0.54985666826631741</v>
      </c>
      <c r="D46" s="18">
        <f t="shared" si="104"/>
        <v>0.54638061917948011</v>
      </c>
      <c r="E46" s="18">
        <f t="shared" si="104"/>
        <v>0.54206802809820165</v>
      </c>
      <c r="F46" s="18">
        <f t="shared" si="104"/>
        <v>0.53673697151400279</v>
      </c>
      <c r="G46" s="18">
        <f t="shared" si="104"/>
        <v>0.53017643649426593</v>
      </c>
      <c r="H46" s="18">
        <f t="shared" si="104"/>
        <v>0.52214731708780815</v>
      </c>
      <c r="I46" s="18">
        <f t="shared" si="104"/>
        <v>0.51238698857484377</v>
      </c>
      <c r="J46" s="18">
        <f t="shared" si="104"/>
        <v>0.50061908277822942</v>
      </c>
      <c r="K46" s="18">
        <f t="shared" si="104"/>
        <v>0.48657015575843587</v>
      </c>
      <c r="L46" s="9">
        <v>0.47</v>
      </c>
      <c r="M46" s="18">
        <f t="shared" ref="M46:AF46" si="105">$L$46*((0.0278/(1+POWER(10,7.688-M28))+(1.1994/(1+POWER(10,M28-7.688)))))</f>
        <v>0.45070756173615689</v>
      </c>
      <c r="N46" s="18">
        <f t="shared" si="105"/>
        <v>0.42862503606238339</v>
      </c>
      <c r="O46" s="18">
        <f t="shared" si="105"/>
        <v>0.40380421879445288</v>
      </c>
      <c r="P46" s="18">
        <f t="shared" si="105"/>
        <v>0.37647782036721217</v>
      </c>
      <c r="Q46" s="18">
        <f t="shared" si="105"/>
        <v>0.34707091266876894</v>
      </c>
      <c r="R46" s="18">
        <f t="shared" si="105"/>
        <v>0.31619125800202602</v>
      </c>
      <c r="S46" s="18">
        <f t="shared" si="105"/>
        <v>0.28458847272801036</v>
      </c>
      <c r="T46" s="18">
        <f t="shared" si="105"/>
        <v>0.25308561386695821</v>
      </c>
      <c r="U46" s="18">
        <f t="shared" si="105"/>
        <v>0.22249544163163409</v>
      </c>
      <c r="V46" s="18">
        <f t="shared" si="105"/>
        <v>0.1935388715574082</v>
      </c>
      <c r="W46" s="18">
        <f t="shared" si="105"/>
        <v>0.16678236081589606</v>
      </c>
      <c r="X46" s="18">
        <f t="shared" si="105"/>
        <v>0.14260456852154366</v>
      </c>
      <c r="Y46" s="18">
        <f t="shared" si="105"/>
        <v>0.12119373173799504</v>
      </c>
      <c r="Z46" s="18">
        <f t="shared" si="105"/>
        <v>0.10256963492492352</v>
      </c>
      <c r="AA46" s="26">
        <f t="shared" si="105"/>
        <v>8.6620190847211398E-2</v>
      </c>
      <c r="AB46" s="26">
        <f t="shared" si="105"/>
        <v>7.3142651832591249E-2</v>
      </c>
      <c r="AC46" s="26">
        <f t="shared" si="105"/>
        <v>6.1881961339795399E-2</v>
      </c>
      <c r="AD46" s="26">
        <f t="shared" si="105"/>
        <v>5.256202944069352E-2</v>
      </c>
      <c r="AE46" s="26">
        <f t="shared" si="105"/>
        <v>4.4908552669218636E-2</v>
      </c>
      <c r="AF46" s="26">
        <f t="shared" si="105"/>
        <v>3.8663884037764308E-2</v>
      </c>
    </row>
    <row r="47" spans="1:32" x14ac:dyDescent="0.2">
      <c r="A47" s="228">
        <v>28</v>
      </c>
      <c r="B47" s="18">
        <f>$L$47*((0.0278/(1+POWER(10,7.688-B28))+(1.1994/(1+POWER(10,B28-7.688)))))</f>
        <v>0.5173747039083354</v>
      </c>
      <c r="C47" s="18">
        <f t="shared" ref="C47:K47" si="106">$L$47*((0.0278/(1+POWER(10,7.688-C28))+(1.1994/(1+POWER(10,C28-7.688)))))</f>
        <v>0.51475943412165892</v>
      </c>
      <c r="D47" s="18">
        <f t="shared" si="106"/>
        <v>0.51150526050844947</v>
      </c>
      <c r="E47" s="18">
        <f t="shared" si="106"/>
        <v>0.50746794119831651</v>
      </c>
      <c r="F47" s="18">
        <f t="shared" si="106"/>
        <v>0.50247716482161964</v>
      </c>
      <c r="G47" s="18">
        <f t="shared" si="106"/>
        <v>0.49633538735633403</v>
      </c>
      <c r="H47" s="18">
        <f t="shared" si="106"/>
        <v>0.48881876493326726</v>
      </c>
      <c r="I47" s="18">
        <f t="shared" si="106"/>
        <v>0.47968143611261971</v>
      </c>
      <c r="J47" s="18">
        <f t="shared" si="106"/>
        <v>0.46866467323919353</v>
      </c>
      <c r="K47" s="18">
        <f t="shared" si="106"/>
        <v>0.45551248624193996</v>
      </c>
      <c r="L47" s="9">
        <v>0.44</v>
      </c>
      <c r="M47" s="18">
        <f t="shared" ref="M47:AF47" si="107">$L$47*((0.0278/(1+POWER(10,7.688-M28))+(1.1994/(1+POWER(10,M28-7.688)))))</f>
        <v>0.4219389939657639</v>
      </c>
      <c r="N47" s="18">
        <f t="shared" si="107"/>
        <v>0.40126599120733764</v>
      </c>
      <c r="O47" s="18">
        <f t="shared" si="107"/>
        <v>0.37802948142459419</v>
      </c>
      <c r="P47" s="18">
        <f t="shared" si="107"/>
        <v>0.35244732119483696</v>
      </c>
      <c r="Q47" s="18">
        <f t="shared" si="107"/>
        <v>0.32491745015799645</v>
      </c>
      <c r="R47" s="18">
        <f t="shared" si="107"/>
        <v>0.29600883727849248</v>
      </c>
      <c r="S47" s="18">
        <f t="shared" si="107"/>
        <v>0.26642325106452036</v>
      </c>
      <c r="T47" s="18">
        <f t="shared" si="107"/>
        <v>0.23693121298183323</v>
      </c>
      <c r="U47" s="18">
        <f t="shared" si="107"/>
        <v>0.20829360493174257</v>
      </c>
      <c r="V47" s="18">
        <f t="shared" si="107"/>
        <v>0.18118532656438216</v>
      </c>
      <c r="W47" s="18">
        <f t="shared" si="107"/>
        <v>0.1561366782106261</v>
      </c>
      <c r="X47" s="18">
        <f t="shared" si="107"/>
        <v>0.13350214925421108</v>
      </c>
      <c r="Y47" s="18">
        <f t="shared" si="107"/>
        <v>0.11345796162705919</v>
      </c>
      <c r="Z47" s="18">
        <f t="shared" si="107"/>
        <v>9.6022636950992238E-2</v>
      </c>
      <c r="AA47" s="26">
        <f t="shared" si="107"/>
        <v>8.1091242495261742E-2</v>
      </c>
      <c r="AB47" s="26">
        <f t="shared" si="107"/>
        <v>6.8473971928383295E-2</v>
      </c>
      <c r="AC47" s="26">
        <f t="shared" si="107"/>
        <v>5.7932048913851016E-2</v>
      </c>
      <c r="AD47" s="26">
        <f t="shared" si="107"/>
        <v>4.9207006284904577E-2</v>
      </c>
      <c r="AE47" s="26">
        <f t="shared" si="107"/>
        <v>4.204204930735362E-2</v>
      </c>
      <c r="AF47" s="26">
        <f t="shared" si="107"/>
        <v>3.6195976545992117E-2</v>
      </c>
    </row>
    <row r="48" spans="1:32" x14ac:dyDescent="0.2">
      <c r="A48" s="228">
        <v>29</v>
      </c>
      <c r="B48" s="18">
        <f>$L$48*((0.0278/(1+POWER(10,7.688-B28))+(1.1994/(1+POWER(10,B28-7.688)))))</f>
        <v>0.47034063991666858</v>
      </c>
      <c r="C48" s="18">
        <f t="shared" ref="C48:K48" si="108">$L$48*((0.0278/(1+POWER(10,7.688-C28))+(1.1994/(1+POWER(10,C28-7.688)))))</f>
        <v>0.46796312192878081</v>
      </c>
      <c r="D48" s="18">
        <f t="shared" si="108"/>
        <v>0.46500478228040865</v>
      </c>
      <c r="E48" s="18">
        <f t="shared" si="108"/>
        <v>0.46133449199846954</v>
      </c>
      <c r="F48" s="18">
        <f t="shared" si="108"/>
        <v>0.4567974225651088</v>
      </c>
      <c r="G48" s="18">
        <f t="shared" si="108"/>
        <v>0.45121398850575822</v>
      </c>
      <c r="H48" s="18">
        <f t="shared" si="108"/>
        <v>0.44438069539387937</v>
      </c>
      <c r="I48" s="18">
        <f t="shared" si="108"/>
        <v>0.43607403282965429</v>
      </c>
      <c r="J48" s="18">
        <f t="shared" si="108"/>
        <v>0.42605879385381229</v>
      </c>
      <c r="K48" s="18">
        <f t="shared" si="108"/>
        <v>0.41410226021994545</v>
      </c>
      <c r="L48" s="18">
        <v>0.4</v>
      </c>
      <c r="M48" s="18">
        <f t="shared" ref="M48:AF48" si="109">$L$48*((0.0278/(1+POWER(10,7.688-M28))+(1.1994/(1+POWER(10,M28-7.688)))))</f>
        <v>0.38358090360523994</v>
      </c>
      <c r="N48" s="18">
        <f t="shared" si="109"/>
        <v>0.36478726473394335</v>
      </c>
      <c r="O48" s="18">
        <f t="shared" si="109"/>
        <v>0.34366316493144927</v>
      </c>
      <c r="P48" s="18">
        <f t="shared" si="109"/>
        <v>0.32040665563166998</v>
      </c>
      <c r="Q48" s="18">
        <f t="shared" si="109"/>
        <v>0.29537950014363318</v>
      </c>
      <c r="R48" s="18">
        <f t="shared" si="109"/>
        <v>0.26909894298044773</v>
      </c>
      <c r="S48" s="18">
        <f t="shared" si="109"/>
        <v>0.24220295551320034</v>
      </c>
      <c r="T48" s="18">
        <f t="shared" si="109"/>
        <v>0.21539201180166656</v>
      </c>
      <c r="U48" s="18">
        <f t="shared" si="109"/>
        <v>0.18935782266522053</v>
      </c>
      <c r="V48" s="18">
        <f t="shared" si="109"/>
        <v>0.16471393324034744</v>
      </c>
      <c r="W48" s="18">
        <f t="shared" si="109"/>
        <v>0.14194243473693283</v>
      </c>
      <c r="X48" s="18">
        <f t="shared" si="109"/>
        <v>0.12136559023110099</v>
      </c>
      <c r="Y48" s="18">
        <f t="shared" si="109"/>
        <v>0.10314360147914473</v>
      </c>
      <c r="Z48" s="26">
        <f t="shared" si="109"/>
        <v>8.7293306319083858E-2</v>
      </c>
      <c r="AA48" s="26">
        <f t="shared" si="109"/>
        <v>7.3719311359328854E-2</v>
      </c>
      <c r="AB48" s="26">
        <f t="shared" si="109"/>
        <v>6.2249065389439362E-2</v>
      </c>
      <c r="AC48" s="26">
        <f t="shared" si="109"/>
        <v>5.2665499012591835E-2</v>
      </c>
      <c r="AD48" s="26">
        <f t="shared" si="109"/>
        <v>4.4733642077185977E-2</v>
      </c>
      <c r="AE48" s="26">
        <f t="shared" si="109"/>
        <v>3.8220044824866933E-2</v>
      </c>
      <c r="AF48" s="26">
        <f t="shared" si="109"/>
        <v>3.2905433223629203E-2</v>
      </c>
    </row>
    <row r="49" spans="1:32" x14ac:dyDescent="0.2">
      <c r="A49" s="228">
        <v>30</v>
      </c>
      <c r="B49" s="18">
        <f>$L$49*((0.0278/(1+POWER(10,7.688-B28))+(1.1994/(1+POWER(10,B28-7.688)))))</f>
        <v>0.43506509192291842</v>
      </c>
      <c r="C49" s="18">
        <f t="shared" ref="C49:K49" si="110">$L$49*((0.0278/(1+POWER(10,7.688-C28))+(1.1994/(1+POWER(10,C28-7.688)))))</f>
        <v>0.43286588778412222</v>
      </c>
      <c r="D49" s="18">
        <f t="shared" si="110"/>
        <v>0.43012942360937795</v>
      </c>
      <c r="E49" s="18">
        <f t="shared" si="110"/>
        <v>0.42673440509858429</v>
      </c>
      <c r="F49" s="18">
        <f t="shared" si="110"/>
        <v>0.42253761587272559</v>
      </c>
      <c r="G49" s="18">
        <f t="shared" si="110"/>
        <v>0.41737293936782638</v>
      </c>
      <c r="H49" s="18">
        <f t="shared" si="110"/>
        <v>0.41105214323933836</v>
      </c>
      <c r="I49" s="18">
        <f t="shared" si="110"/>
        <v>0.40336848036743017</v>
      </c>
      <c r="J49" s="18">
        <f t="shared" si="110"/>
        <v>0.39410438431477635</v>
      </c>
      <c r="K49" s="18">
        <f t="shared" si="110"/>
        <v>0.38304459070344954</v>
      </c>
      <c r="L49" s="9">
        <v>0.37</v>
      </c>
      <c r="M49" s="18">
        <f t="shared" ref="M49:AF49" si="111">$L$49*((0.0278/(1+POWER(10,7.688-M28))+(1.1994/(1+POWER(10,M28-7.688)))))</f>
        <v>0.35481233583484689</v>
      </c>
      <c r="N49" s="18">
        <f t="shared" si="111"/>
        <v>0.33742821987889754</v>
      </c>
      <c r="O49" s="18">
        <f t="shared" si="111"/>
        <v>0.31788842756159058</v>
      </c>
      <c r="P49" s="18">
        <f t="shared" si="111"/>
        <v>0.29637615645929472</v>
      </c>
      <c r="Q49" s="18">
        <f t="shared" si="111"/>
        <v>0.27322603763286063</v>
      </c>
      <c r="R49" s="18">
        <f t="shared" si="111"/>
        <v>0.24891652225691413</v>
      </c>
      <c r="S49" s="18">
        <f t="shared" si="111"/>
        <v>0.22403773384971029</v>
      </c>
      <c r="T49" s="18">
        <f t="shared" si="111"/>
        <v>0.19923761091654157</v>
      </c>
      <c r="U49" s="18">
        <f t="shared" si="111"/>
        <v>0.17515598596532897</v>
      </c>
      <c r="V49" s="18">
        <f t="shared" si="111"/>
        <v>0.15236038824732137</v>
      </c>
      <c r="W49" s="18">
        <f t="shared" si="111"/>
        <v>0.13129675213166286</v>
      </c>
      <c r="X49" s="18">
        <f t="shared" si="111"/>
        <v>0.11226317096376841</v>
      </c>
      <c r="Y49" s="18">
        <f t="shared" si="111"/>
        <v>9.5407831368208865E-2</v>
      </c>
      <c r="Z49" s="26">
        <f t="shared" si="111"/>
        <v>8.0746308345152562E-2</v>
      </c>
      <c r="AA49" s="26">
        <f t="shared" si="111"/>
        <v>6.8190363007379184E-2</v>
      </c>
      <c r="AB49" s="26">
        <f t="shared" si="111"/>
        <v>5.7580385485231408E-2</v>
      </c>
      <c r="AC49" s="26">
        <f t="shared" si="111"/>
        <v>4.8715586586647444E-2</v>
      </c>
      <c r="AD49" s="26">
        <f t="shared" si="111"/>
        <v>4.1378618921397027E-2</v>
      </c>
      <c r="AE49" s="26">
        <f t="shared" si="111"/>
        <v>3.535354146300191E-2</v>
      </c>
      <c r="AF49" s="26">
        <f t="shared" si="111"/>
        <v>3.0437525731857009E-2</v>
      </c>
    </row>
    <row r="51" spans="1:32" x14ac:dyDescent="0.2">
      <c r="A51" t="s">
        <v>586</v>
      </c>
    </row>
    <row r="52" spans="1:32" x14ac:dyDescent="0.2">
      <c r="A52" s="16"/>
      <c r="B52" s="446" t="s">
        <v>16</v>
      </c>
      <c r="C52" s="446"/>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6"/>
      <c r="AE52" s="446"/>
      <c r="AF52" s="446"/>
    </row>
    <row r="53" spans="1:32" x14ac:dyDescent="0.2">
      <c r="A53" s="227" t="s">
        <v>620</v>
      </c>
      <c r="B53" s="82">
        <v>6</v>
      </c>
      <c r="C53" s="82">
        <v>6.1</v>
      </c>
      <c r="D53" s="82">
        <v>6.2</v>
      </c>
      <c r="E53" s="82">
        <v>6.3</v>
      </c>
      <c r="F53" s="82">
        <v>6.4</v>
      </c>
      <c r="G53" s="82">
        <v>6.5</v>
      </c>
      <c r="H53" s="82">
        <v>6.6</v>
      </c>
      <c r="I53" s="82">
        <v>6.7</v>
      </c>
      <c r="J53" s="82">
        <v>6.8</v>
      </c>
      <c r="K53" s="82">
        <v>6.9</v>
      </c>
      <c r="L53" s="82">
        <v>7</v>
      </c>
      <c r="M53" s="82">
        <v>7.1</v>
      </c>
      <c r="N53" s="82">
        <v>7.2</v>
      </c>
      <c r="O53" s="82">
        <v>7.3</v>
      </c>
      <c r="P53" s="82">
        <v>7.4</v>
      </c>
      <c r="Q53" s="82">
        <v>7.4999999999999902</v>
      </c>
      <c r="R53" s="82">
        <v>7.5999999999999899</v>
      </c>
      <c r="S53" s="82">
        <v>7.6999999999999904</v>
      </c>
      <c r="T53" s="82">
        <v>7.7999999999999901</v>
      </c>
      <c r="U53" s="82">
        <v>7.8999999999999897</v>
      </c>
      <c r="V53" s="82">
        <v>7.9999999999999902</v>
      </c>
      <c r="W53" s="82">
        <v>8.0999999999999908</v>
      </c>
      <c r="X53" s="82">
        <v>8.1999999999999904</v>
      </c>
      <c r="Y53" s="82">
        <v>8.2999999999999901</v>
      </c>
      <c r="Z53" s="82">
        <v>8.3999999999999897</v>
      </c>
      <c r="AA53" s="82">
        <v>8.4999999999999893</v>
      </c>
      <c r="AB53" s="82">
        <v>8.5999999999999908</v>
      </c>
      <c r="AC53" s="82">
        <v>8.6999999999999904</v>
      </c>
      <c r="AD53" s="82">
        <v>8.7999999999999901</v>
      </c>
      <c r="AE53" s="82">
        <v>8.8999999999999897</v>
      </c>
      <c r="AF53" s="82">
        <v>8.9999999999999893</v>
      </c>
    </row>
    <row r="54" spans="1:32" x14ac:dyDescent="0.2">
      <c r="A54" s="228">
        <v>10</v>
      </c>
      <c r="B54" s="15">
        <f>$L$54*((0.0278/(1+POWER(10,7.688-B53))+(1.1994/(1+POWER(10,B53-7.688)))))</f>
        <v>2.7044586795208438</v>
      </c>
      <c r="C54" s="15">
        <f t="shared" ref="C54:J54" si="112">$L$54*((0.0278/(1+POWER(10,7.688-C53))+(1.1994/(1+POWER(10,C53-7.688)))))</f>
        <v>2.6907879510904893</v>
      </c>
      <c r="D54" s="15">
        <f t="shared" si="112"/>
        <v>2.6737774981123494</v>
      </c>
      <c r="E54" s="15">
        <f t="shared" si="112"/>
        <v>2.6526733289911997</v>
      </c>
      <c r="F54" s="15">
        <f t="shared" si="112"/>
        <v>2.6265851797493753</v>
      </c>
      <c r="G54" s="15">
        <f t="shared" si="112"/>
        <v>2.5944804339081098</v>
      </c>
      <c r="H54" s="15">
        <f t="shared" si="112"/>
        <v>2.5551889985148057</v>
      </c>
      <c r="I54" s="15">
        <f t="shared" si="112"/>
        <v>2.5074256887705118</v>
      </c>
      <c r="J54" s="15">
        <f t="shared" si="112"/>
        <v>2.4498380646594207</v>
      </c>
      <c r="K54" s="15">
        <f>$L$54*((0.0278/(1+POWER(10,7.688-K53))+(1.1994/(1+POWER(10,K53-7.688)))))</f>
        <v>2.3810879962646858</v>
      </c>
      <c r="L54" s="15">
        <v>2.2999999999999998</v>
      </c>
      <c r="M54" s="15">
        <f>$L$54*((0.0278/(1+POWER(10,7.688-M53))+(1.1994/(1+POWER(10,M53-7.688)))))</f>
        <v>2.2055901957301294</v>
      </c>
      <c r="N54" s="15">
        <f t="shared" ref="N54:AF54" si="113">$L$54*((0.0278/(1+POWER(10,7.688-N53))+(1.1994/(1+POWER(10,N53-7.688)))))</f>
        <v>2.0975267722201738</v>
      </c>
      <c r="O54" s="15">
        <f t="shared" si="113"/>
        <v>1.976063198355833</v>
      </c>
      <c r="P54" s="15">
        <f t="shared" si="113"/>
        <v>1.842338269882102</v>
      </c>
      <c r="Q54" s="15">
        <f t="shared" si="113"/>
        <v>1.6984321258258905</v>
      </c>
      <c r="R54" s="15">
        <f t="shared" si="113"/>
        <v>1.547318922137574</v>
      </c>
      <c r="S54" s="15">
        <f t="shared" si="113"/>
        <v>1.3926669942009018</v>
      </c>
      <c r="T54" s="15">
        <f t="shared" si="113"/>
        <v>1.2385040678595827</v>
      </c>
      <c r="U54" s="15">
        <f t="shared" si="113"/>
        <v>1.0888074803250178</v>
      </c>
      <c r="V54" s="18">
        <f t="shared" si="113"/>
        <v>0.94710511613199755</v>
      </c>
      <c r="W54" s="18">
        <f t="shared" si="113"/>
        <v>0.81616899973736368</v>
      </c>
      <c r="X54" s="18">
        <f t="shared" si="113"/>
        <v>0.69785214382883065</v>
      </c>
      <c r="Y54" s="18">
        <f t="shared" si="113"/>
        <v>0.59307570850508207</v>
      </c>
      <c r="Z54" s="18">
        <f t="shared" si="113"/>
        <v>0.50193651133473216</v>
      </c>
      <c r="AA54" s="18">
        <f t="shared" si="113"/>
        <v>0.42388604031614086</v>
      </c>
      <c r="AB54" s="18">
        <f t="shared" si="113"/>
        <v>0.35793212598927632</v>
      </c>
      <c r="AC54" s="18">
        <f t="shared" si="113"/>
        <v>0.30282661932240301</v>
      </c>
      <c r="AD54" s="18">
        <f t="shared" si="113"/>
        <v>0.25721844194381932</v>
      </c>
      <c r="AE54" s="18">
        <f t="shared" si="113"/>
        <v>0.2197652577429848</v>
      </c>
      <c r="AF54" s="18">
        <f t="shared" si="113"/>
        <v>0.18920624103586789</v>
      </c>
    </row>
    <row r="55" spans="1:32" x14ac:dyDescent="0.2">
      <c r="A55" s="228">
        <v>11</v>
      </c>
      <c r="B55" s="15">
        <f>$L$55*((0.0278/(1+POWER(10,7.688-B53))+(1.1994/(1+POWER(10,B53-7.688)))))</f>
        <v>2.5868735195416774</v>
      </c>
      <c r="C55" s="15">
        <f t="shared" ref="C55:J55" si="114">$L$55*((0.0278/(1+POWER(10,7.688-C53))+(1.1994/(1+POWER(10,C53-7.688)))))</f>
        <v>2.5737971706082945</v>
      </c>
      <c r="D55" s="15">
        <f t="shared" si="114"/>
        <v>2.5575263025422474</v>
      </c>
      <c r="E55" s="15">
        <f t="shared" si="114"/>
        <v>2.5373397059915828</v>
      </c>
      <c r="F55" s="15">
        <f t="shared" si="114"/>
        <v>2.5123858241080983</v>
      </c>
      <c r="G55" s="15">
        <f t="shared" si="114"/>
        <v>2.4816769367816702</v>
      </c>
      <c r="H55" s="15">
        <f t="shared" si="114"/>
        <v>2.4440938246663366</v>
      </c>
      <c r="I55" s="15">
        <f t="shared" si="114"/>
        <v>2.3984071805630989</v>
      </c>
      <c r="J55" s="15">
        <f t="shared" si="114"/>
        <v>2.3433233661959676</v>
      </c>
      <c r="K55" s="15">
        <f>$L$55*((0.0278/(1+POWER(10,7.688-K53))+(1.1994/(1+POWER(10,K53-7.688)))))</f>
        <v>2.2775624312097</v>
      </c>
      <c r="L55" s="9">
        <v>2.2000000000000002</v>
      </c>
      <c r="M55" s="15">
        <f>$L$55*((0.0278/(1+POWER(10,7.688-M53))+(1.1994/(1+POWER(10,M53-7.688)))))</f>
        <v>2.1096949698288197</v>
      </c>
      <c r="N55" s="15">
        <f t="shared" ref="N55:AF55" si="115">$L$55*((0.0278/(1+POWER(10,7.688-N53))+(1.1994/(1+POWER(10,N53-7.688)))))</f>
        <v>2.0063299560366885</v>
      </c>
      <c r="O55" s="15">
        <f t="shared" si="115"/>
        <v>1.8901474071229711</v>
      </c>
      <c r="P55" s="15">
        <f t="shared" si="115"/>
        <v>1.7622366059741847</v>
      </c>
      <c r="Q55" s="15">
        <f t="shared" si="115"/>
        <v>1.6245872507899823</v>
      </c>
      <c r="R55" s="15">
        <f t="shared" si="115"/>
        <v>1.4800441863924625</v>
      </c>
      <c r="S55" s="15">
        <f t="shared" si="115"/>
        <v>1.3321162553226018</v>
      </c>
      <c r="T55" s="15">
        <f t="shared" si="115"/>
        <v>1.1846560649091662</v>
      </c>
      <c r="U55" s="15">
        <f t="shared" si="115"/>
        <v>1.0414680246587129</v>
      </c>
      <c r="V55" s="18">
        <f t="shared" si="115"/>
        <v>0.90592663282191088</v>
      </c>
      <c r="W55" s="18">
        <f t="shared" si="115"/>
        <v>0.78068339105313056</v>
      </c>
      <c r="X55" s="18">
        <f t="shared" si="115"/>
        <v>0.66751074627105544</v>
      </c>
      <c r="Y55" s="18">
        <f t="shared" si="115"/>
        <v>0.56728980813529606</v>
      </c>
      <c r="Z55" s="18">
        <f t="shared" si="115"/>
        <v>0.48011318475496123</v>
      </c>
      <c r="AA55" s="18">
        <f t="shared" si="115"/>
        <v>0.40545621247630875</v>
      </c>
      <c r="AB55" s="18">
        <f t="shared" si="115"/>
        <v>0.34236985964191652</v>
      </c>
      <c r="AC55" s="18">
        <f t="shared" si="115"/>
        <v>0.2896602445692551</v>
      </c>
      <c r="AD55" s="18">
        <f t="shared" si="115"/>
        <v>0.24603503142452288</v>
      </c>
      <c r="AE55" s="18">
        <f t="shared" si="115"/>
        <v>0.21021024653676812</v>
      </c>
      <c r="AF55" s="18">
        <f t="shared" si="115"/>
        <v>0.1809798827299606</v>
      </c>
    </row>
    <row r="56" spans="1:32" x14ac:dyDescent="0.2">
      <c r="A56" s="228">
        <v>12</v>
      </c>
      <c r="B56" s="15">
        <f>$L$56*((0.0278/(1+POWER(10,7.688-B53))+(1.1994/(1+POWER(10,B53-7.688)))))</f>
        <v>2.4692883595625101</v>
      </c>
      <c r="C56" s="15">
        <f t="shared" ref="C56:J56" si="116">$L$56*((0.0278/(1+POWER(10,7.688-C53))+(1.1994/(1+POWER(10,C53-7.688)))))</f>
        <v>2.4568063901260992</v>
      </c>
      <c r="D56" s="15">
        <f t="shared" si="116"/>
        <v>2.4412751069721454</v>
      </c>
      <c r="E56" s="15">
        <f t="shared" si="116"/>
        <v>2.422006082991965</v>
      </c>
      <c r="F56" s="15">
        <f t="shared" si="116"/>
        <v>2.3981864684668213</v>
      </c>
      <c r="G56" s="15">
        <f t="shared" si="116"/>
        <v>2.3688734396552307</v>
      </c>
      <c r="H56" s="15">
        <f t="shared" si="116"/>
        <v>2.3329986508178666</v>
      </c>
      <c r="I56" s="15">
        <f t="shared" si="116"/>
        <v>2.2893886723556851</v>
      </c>
      <c r="J56" s="15">
        <f t="shared" si="116"/>
        <v>2.2368086677325145</v>
      </c>
      <c r="K56" s="15">
        <f>$L$56*((0.0278/(1+POWER(10,7.688-K53))+(1.1994/(1+POWER(10,K53-7.688)))))</f>
        <v>2.1740368661547138</v>
      </c>
      <c r="L56" s="9">
        <v>2.1</v>
      </c>
      <c r="M56" s="15">
        <f>$L$56*((0.0278/(1+POWER(10,7.688-M53))+(1.1994/(1+POWER(10,M53-7.688)))))</f>
        <v>2.0137997439275095</v>
      </c>
      <c r="N56" s="15">
        <f t="shared" ref="N56:AF56" si="117">$L$56*((0.0278/(1+POWER(10,7.688-N53))+(1.1994/(1+POWER(10,N53-7.688)))))</f>
        <v>1.9151331398532025</v>
      </c>
      <c r="O56" s="15">
        <f t="shared" si="117"/>
        <v>1.8042316158901086</v>
      </c>
      <c r="P56" s="15">
        <f t="shared" si="117"/>
        <v>1.6821349420662672</v>
      </c>
      <c r="Q56" s="15">
        <f t="shared" si="117"/>
        <v>1.5507423757540741</v>
      </c>
      <c r="R56" s="15">
        <f t="shared" si="117"/>
        <v>1.4127694506473505</v>
      </c>
      <c r="S56" s="15">
        <f t="shared" si="117"/>
        <v>1.2715655164443018</v>
      </c>
      <c r="T56" s="15">
        <f t="shared" si="117"/>
        <v>1.1308080619587495</v>
      </c>
      <c r="U56" s="18">
        <f t="shared" si="117"/>
        <v>0.99412856899240776</v>
      </c>
      <c r="V56" s="18">
        <f t="shared" si="117"/>
        <v>0.86474814951182399</v>
      </c>
      <c r="W56" s="18">
        <f t="shared" si="117"/>
        <v>0.74519778236889733</v>
      </c>
      <c r="X56" s="18">
        <f t="shared" si="117"/>
        <v>0.63716934871328024</v>
      </c>
      <c r="Y56" s="18">
        <f t="shared" si="117"/>
        <v>0.54150390776550983</v>
      </c>
      <c r="Z56" s="18">
        <f t="shared" si="117"/>
        <v>0.45828985817519025</v>
      </c>
      <c r="AA56" s="18">
        <f t="shared" si="117"/>
        <v>0.38702638463647648</v>
      </c>
      <c r="AB56" s="18">
        <f t="shared" si="117"/>
        <v>0.32680759329455666</v>
      </c>
      <c r="AC56" s="18">
        <f t="shared" si="117"/>
        <v>0.27649386981610713</v>
      </c>
      <c r="AD56" s="18">
        <f t="shared" si="117"/>
        <v>0.23485162090522638</v>
      </c>
      <c r="AE56" s="18">
        <f t="shared" si="117"/>
        <v>0.20065523533055138</v>
      </c>
      <c r="AF56" s="18">
        <f t="shared" si="117"/>
        <v>0.17275352442405331</v>
      </c>
    </row>
    <row r="57" spans="1:32" x14ac:dyDescent="0.2">
      <c r="A57" s="228">
        <v>13</v>
      </c>
      <c r="B57" s="15">
        <f>$L$57*((0.0278/(1+POWER(10,7.688-B53))+(1.1994/(1+POWER(10,B53-7.688)))))</f>
        <v>2.3517031995833428</v>
      </c>
      <c r="C57" s="15">
        <f t="shared" ref="C57:J57" si="118">$L$57*((0.0278/(1+POWER(10,7.688-C53))+(1.1994/(1+POWER(10,C53-7.688)))))</f>
        <v>2.339815609643904</v>
      </c>
      <c r="D57" s="15">
        <f t="shared" si="118"/>
        <v>2.325023911402043</v>
      </c>
      <c r="E57" s="15">
        <f t="shared" si="118"/>
        <v>2.3066724599923476</v>
      </c>
      <c r="F57" s="15">
        <f t="shared" si="118"/>
        <v>2.2839871128255438</v>
      </c>
      <c r="G57" s="15">
        <f t="shared" si="118"/>
        <v>2.2560699425287911</v>
      </c>
      <c r="H57" s="15">
        <f t="shared" si="118"/>
        <v>2.2219034769693966</v>
      </c>
      <c r="I57" s="15">
        <f t="shared" si="118"/>
        <v>2.1803701641482713</v>
      </c>
      <c r="J57" s="15">
        <f t="shared" si="118"/>
        <v>2.1302939692690614</v>
      </c>
      <c r="K57" s="15">
        <f>$L$57*((0.0278/(1+POWER(10,7.688-K53))+(1.1994/(1+POWER(10,K53-7.688)))))</f>
        <v>2.0705113010997271</v>
      </c>
      <c r="L57" s="9">
        <v>2</v>
      </c>
      <c r="M57" s="15">
        <f>$L$57*((0.0278/(1+POWER(10,7.688-M53))+(1.1994/(1+POWER(10,M53-7.688)))))</f>
        <v>1.9179045180261995</v>
      </c>
      <c r="N57" s="15">
        <f t="shared" ref="N57:AF57" si="119">$L$57*((0.0278/(1+POWER(10,7.688-N53))+(1.1994/(1+POWER(10,N53-7.688)))))</f>
        <v>1.8239363236697166</v>
      </c>
      <c r="O57" s="15">
        <f t="shared" si="119"/>
        <v>1.7183158246572463</v>
      </c>
      <c r="P57" s="15">
        <f t="shared" si="119"/>
        <v>1.6020332781583497</v>
      </c>
      <c r="Q57" s="15">
        <f t="shared" si="119"/>
        <v>1.4768975007181657</v>
      </c>
      <c r="R57" s="15">
        <f t="shared" si="119"/>
        <v>1.3454947149022385</v>
      </c>
      <c r="S57" s="15">
        <f t="shared" si="119"/>
        <v>1.2110147775660016</v>
      </c>
      <c r="T57" s="15">
        <f t="shared" si="119"/>
        <v>1.0769600590083328</v>
      </c>
      <c r="U57" s="18">
        <f t="shared" si="119"/>
        <v>0.9467891133261026</v>
      </c>
      <c r="V57" s="18">
        <f t="shared" si="119"/>
        <v>0.82356966620173711</v>
      </c>
      <c r="W57" s="18">
        <f t="shared" si="119"/>
        <v>0.7097121736846641</v>
      </c>
      <c r="X57" s="18">
        <f t="shared" si="119"/>
        <v>0.60682795115550492</v>
      </c>
      <c r="Y57" s="18">
        <f t="shared" si="119"/>
        <v>0.5157180073957236</v>
      </c>
      <c r="Z57" s="18">
        <f t="shared" si="119"/>
        <v>0.43646653159541926</v>
      </c>
      <c r="AA57" s="18">
        <f t="shared" si="119"/>
        <v>0.36859655679664427</v>
      </c>
      <c r="AB57" s="18">
        <f t="shared" si="119"/>
        <v>0.31124532694719681</v>
      </c>
      <c r="AC57" s="18">
        <f t="shared" si="119"/>
        <v>0.26332749506295916</v>
      </c>
      <c r="AD57" s="18">
        <f t="shared" si="119"/>
        <v>0.22366821038592988</v>
      </c>
      <c r="AE57" s="18">
        <f t="shared" si="119"/>
        <v>0.19110022412433464</v>
      </c>
      <c r="AF57" s="18">
        <f t="shared" si="119"/>
        <v>0.164527166118146</v>
      </c>
    </row>
    <row r="58" spans="1:32" x14ac:dyDescent="0.2">
      <c r="A58" s="228">
        <v>14</v>
      </c>
      <c r="B58" s="15">
        <f>$L$58*((0.0278/(1+POWER(10,7.688-B53))+(1.1994/(1+POWER(10,B53-7.688)))))</f>
        <v>2.2341180396041755</v>
      </c>
      <c r="C58" s="15">
        <f t="shared" ref="C58:J58" si="120">$L$58*((0.0278/(1+POWER(10,7.688-C53))+(1.1994/(1+POWER(10,C53-7.688)))))</f>
        <v>2.2228248291617088</v>
      </c>
      <c r="D58" s="15">
        <f t="shared" si="120"/>
        <v>2.2087727158319406</v>
      </c>
      <c r="E58" s="15">
        <f t="shared" si="120"/>
        <v>2.1913388369927302</v>
      </c>
      <c r="F58" s="15">
        <f t="shared" si="120"/>
        <v>2.1697877571842663</v>
      </c>
      <c r="G58" s="15">
        <f t="shared" si="120"/>
        <v>2.1432664454023516</v>
      </c>
      <c r="H58" s="15">
        <f t="shared" si="120"/>
        <v>2.1108083031209266</v>
      </c>
      <c r="I58" s="15">
        <f t="shared" si="120"/>
        <v>2.0713516559408576</v>
      </c>
      <c r="J58" s="15">
        <f t="shared" si="120"/>
        <v>2.0237792708056084</v>
      </c>
      <c r="K58" s="15">
        <f>$L$58*((0.0278/(1+POWER(10,7.688-K53))+(1.1994/(1+POWER(10,K53-7.688)))))</f>
        <v>1.9669857360447407</v>
      </c>
      <c r="L58" s="9">
        <v>1.9</v>
      </c>
      <c r="M58" s="15">
        <f>$L$58*((0.0278/(1+POWER(10,7.688-M53))+(1.1994/(1+POWER(10,M53-7.688)))))</f>
        <v>1.8220092921248894</v>
      </c>
      <c r="N58" s="15">
        <f t="shared" ref="N58:AF58" si="121">$L$58*((0.0278/(1+POWER(10,7.688-N53))+(1.1994/(1+POWER(10,N53-7.688)))))</f>
        <v>1.7327395074862306</v>
      </c>
      <c r="O58" s="15">
        <f t="shared" si="121"/>
        <v>1.632400033424384</v>
      </c>
      <c r="P58" s="15">
        <f t="shared" si="121"/>
        <v>1.5219316142504322</v>
      </c>
      <c r="Q58" s="15">
        <f t="shared" si="121"/>
        <v>1.4030526256822573</v>
      </c>
      <c r="R58" s="15">
        <f t="shared" si="121"/>
        <v>1.2782199791571265</v>
      </c>
      <c r="S58" s="15">
        <f t="shared" si="121"/>
        <v>1.1504640386877014</v>
      </c>
      <c r="T58" s="15">
        <f t="shared" si="121"/>
        <v>1.0231120560579161</v>
      </c>
      <c r="U58" s="18">
        <f t="shared" si="121"/>
        <v>0.89944965765979745</v>
      </c>
      <c r="V58" s="18">
        <f t="shared" si="121"/>
        <v>0.78239118289165022</v>
      </c>
      <c r="W58" s="18">
        <f t="shared" si="121"/>
        <v>0.67422656500043088</v>
      </c>
      <c r="X58" s="18">
        <f t="shared" si="121"/>
        <v>0.5764865535977296</v>
      </c>
      <c r="Y58" s="18">
        <f t="shared" si="121"/>
        <v>0.48993210702593737</v>
      </c>
      <c r="Z58" s="18">
        <f t="shared" si="121"/>
        <v>0.41464320501564828</v>
      </c>
      <c r="AA58" s="18">
        <f t="shared" si="121"/>
        <v>0.35016672895681206</v>
      </c>
      <c r="AB58" s="18">
        <f t="shared" si="121"/>
        <v>0.29568306059983696</v>
      </c>
      <c r="AC58" s="18">
        <f t="shared" si="121"/>
        <v>0.25016112030981119</v>
      </c>
      <c r="AD58" s="18">
        <f t="shared" si="121"/>
        <v>0.21248479986663338</v>
      </c>
      <c r="AE58" s="18">
        <f t="shared" si="121"/>
        <v>0.1815452129181179</v>
      </c>
      <c r="AF58" s="18">
        <f t="shared" si="121"/>
        <v>0.15630080781223868</v>
      </c>
    </row>
    <row r="59" spans="1:32" x14ac:dyDescent="0.2">
      <c r="A59" s="228">
        <v>15</v>
      </c>
      <c r="B59" s="15">
        <f>$L$59*((0.0278/(1+POWER(10,7.688-B53))+(1.1994/(1+POWER(10,B53-7.688)))))</f>
        <v>2.1165328796250087</v>
      </c>
      <c r="C59" s="15">
        <f t="shared" ref="C59:J59" si="122">$L$59*((0.0278/(1+POWER(10,7.688-C53))+(1.1994/(1+POWER(10,C53-7.688)))))</f>
        <v>2.1058340486795135</v>
      </c>
      <c r="D59" s="15">
        <f t="shared" si="122"/>
        <v>2.0925215202618386</v>
      </c>
      <c r="E59" s="15">
        <f t="shared" si="122"/>
        <v>2.0760052139931129</v>
      </c>
      <c r="F59" s="15">
        <f t="shared" si="122"/>
        <v>2.0555884015429893</v>
      </c>
      <c r="G59" s="15">
        <f t="shared" si="122"/>
        <v>2.030462948275912</v>
      </c>
      <c r="H59" s="15">
        <f t="shared" si="122"/>
        <v>1.999713129272457</v>
      </c>
      <c r="I59" s="15">
        <f t="shared" si="122"/>
        <v>1.9623331477334442</v>
      </c>
      <c r="J59" s="15">
        <f t="shared" si="122"/>
        <v>1.9172645723421553</v>
      </c>
      <c r="K59" s="15">
        <f>$L$59*((0.0278/(1+POWER(10,7.688-K53))+(1.1994/(1+POWER(10,K53-7.688)))))</f>
        <v>1.8634601709897545</v>
      </c>
      <c r="L59" s="9">
        <v>1.8</v>
      </c>
      <c r="M59" s="15">
        <f>$L$59*((0.0278/(1+POWER(10,7.688-M53))+(1.1994/(1+POWER(10,M53-7.688)))))</f>
        <v>1.7261140662235797</v>
      </c>
      <c r="N59" s="15">
        <f t="shared" ref="N59:AF59" si="123">$L$59*((0.0278/(1+POWER(10,7.688-N53))+(1.1994/(1+POWER(10,N53-7.688)))))</f>
        <v>1.6415426913027449</v>
      </c>
      <c r="O59" s="15">
        <f t="shared" si="123"/>
        <v>1.5464842421915217</v>
      </c>
      <c r="P59" s="15">
        <f t="shared" si="123"/>
        <v>1.4418299503425147</v>
      </c>
      <c r="Q59" s="15">
        <f t="shared" si="123"/>
        <v>1.3292077506463491</v>
      </c>
      <c r="R59" s="15">
        <f t="shared" si="123"/>
        <v>1.2109452434120147</v>
      </c>
      <c r="S59" s="15">
        <f t="shared" si="123"/>
        <v>1.0899132998094014</v>
      </c>
      <c r="T59" s="15">
        <f t="shared" si="123"/>
        <v>0.96926405310749952</v>
      </c>
      <c r="U59" s="18">
        <f t="shared" si="123"/>
        <v>0.85211020199349241</v>
      </c>
      <c r="V59" s="18">
        <f t="shared" si="123"/>
        <v>0.74121269958156344</v>
      </c>
      <c r="W59" s="18">
        <f t="shared" si="123"/>
        <v>0.63874095631619776</v>
      </c>
      <c r="X59" s="18">
        <f t="shared" si="123"/>
        <v>0.54614515603995439</v>
      </c>
      <c r="Y59" s="18">
        <f t="shared" si="123"/>
        <v>0.46414620665615125</v>
      </c>
      <c r="Z59" s="18">
        <f t="shared" si="123"/>
        <v>0.39281987843587735</v>
      </c>
      <c r="AA59" s="18">
        <f t="shared" si="123"/>
        <v>0.33173690111697984</v>
      </c>
      <c r="AB59" s="18">
        <f t="shared" si="123"/>
        <v>0.28012079425247716</v>
      </c>
      <c r="AC59" s="18">
        <f t="shared" si="123"/>
        <v>0.23699474555666325</v>
      </c>
      <c r="AD59" s="18">
        <f t="shared" si="123"/>
        <v>0.20130138934733691</v>
      </c>
      <c r="AE59" s="18">
        <f t="shared" si="123"/>
        <v>0.17199020171190119</v>
      </c>
      <c r="AF59" s="18">
        <f t="shared" si="123"/>
        <v>0.14807444950633139</v>
      </c>
    </row>
    <row r="60" spans="1:32" x14ac:dyDescent="0.2">
      <c r="A60" s="228">
        <v>16</v>
      </c>
      <c r="B60" s="15">
        <f>$L$60*((0.0278/(1+POWER(10,7.688-B53))+(1.1994/(1+POWER(10,B53-7.688)))))</f>
        <v>1.9989477196458414</v>
      </c>
      <c r="C60" s="15">
        <f t="shared" ref="C60:J60" si="124">$L$60*((0.0278/(1+POWER(10,7.688-C53))+(1.1994/(1+POWER(10,C53-7.688)))))</f>
        <v>1.9888432681973183</v>
      </c>
      <c r="D60" s="15">
        <f t="shared" si="124"/>
        <v>1.9762703246917366</v>
      </c>
      <c r="E60" s="15">
        <f t="shared" si="124"/>
        <v>1.9606715909934953</v>
      </c>
      <c r="F60" s="15">
        <f t="shared" si="124"/>
        <v>1.9413890459017122</v>
      </c>
      <c r="G60" s="15">
        <f t="shared" si="124"/>
        <v>1.9176594511494724</v>
      </c>
      <c r="H60" s="15">
        <f t="shared" si="124"/>
        <v>1.888617955423987</v>
      </c>
      <c r="I60" s="15">
        <f t="shared" si="124"/>
        <v>1.8533146395260305</v>
      </c>
      <c r="J60" s="15">
        <f t="shared" si="124"/>
        <v>1.8107498738787022</v>
      </c>
      <c r="K60" s="15">
        <f>$L$60*((0.0278/(1+POWER(10,7.688-K53))+(1.1994/(1+POWER(10,K53-7.688)))))</f>
        <v>1.759934605934768</v>
      </c>
      <c r="L60" s="9">
        <v>1.7</v>
      </c>
      <c r="M60" s="15">
        <f>$L$60*((0.0278/(1+POWER(10,7.688-M53))+(1.1994/(1+POWER(10,M53-7.688)))))</f>
        <v>1.6302188403222695</v>
      </c>
      <c r="N60" s="15">
        <f t="shared" ref="N60:AF60" si="125">$L$60*((0.0278/(1+POWER(10,7.688-N53))+(1.1994/(1+POWER(10,N53-7.688)))))</f>
        <v>1.5503458751192591</v>
      </c>
      <c r="O60" s="15">
        <f t="shared" si="125"/>
        <v>1.4605684509586594</v>
      </c>
      <c r="P60" s="15">
        <f t="shared" si="125"/>
        <v>1.3617282864345972</v>
      </c>
      <c r="Q60" s="15">
        <f t="shared" si="125"/>
        <v>1.2553628756104409</v>
      </c>
      <c r="R60" s="15">
        <f t="shared" si="125"/>
        <v>1.1436705076669027</v>
      </c>
      <c r="S60" s="15">
        <f t="shared" si="125"/>
        <v>1.0293625609311015</v>
      </c>
      <c r="T60" s="18">
        <f t="shared" si="125"/>
        <v>0.91541605015708283</v>
      </c>
      <c r="U60" s="18">
        <f t="shared" si="125"/>
        <v>0.80477074632718715</v>
      </c>
      <c r="V60" s="18">
        <f t="shared" si="125"/>
        <v>0.70003421627147655</v>
      </c>
      <c r="W60" s="18">
        <f t="shared" si="125"/>
        <v>0.60325534763196442</v>
      </c>
      <c r="X60" s="18">
        <f t="shared" si="125"/>
        <v>0.51580375848217919</v>
      </c>
      <c r="Y60" s="18">
        <f t="shared" si="125"/>
        <v>0.43836030628636502</v>
      </c>
      <c r="Z60" s="18">
        <f t="shared" si="125"/>
        <v>0.37099655185610636</v>
      </c>
      <c r="AA60" s="18">
        <f t="shared" si="125"/>
        <v>0.31330707327714763</v>
      </c>
      <c r="AB60" s="18">
        <f t="shared" si="125"/>
        <v>0.2645585279051173</v>
      </c>
      <c r="AC60" s="18">
        <f t="shared" si="125"/>
        <v>0.22382837080351528</v>
      </c>
      <c r="AD60" s="18">
        <f t="shared" si="125"/>
        <v>0.19011797882804038</v>
      </c>
      <c r="AE60" s="18">
        <f t="shared" si="125"/>
        <v>0.16243519050568445</v>
      </c>
      <c r="AF60" s="18">
        <f t="shared" si="125"/>
        <v>0.1398480912004241</v>
      </c>
    </row>
    <row r="61" spans="1:32" x14ac:dyDescent="0.2">
      <c r="A61" s="228">
        <v>17</v>
      </c>
      <c r="B61" s="15">
        <f>$L$61*((0.0278/(1+POWER(10,7.688-B53))+(1.1994/(1+POWER(10,B53-7.688)))))</f>
        <v>1.8813625596666743</v>
      </c>
      <c r="C61" s="15">
        <f t="shared" ref="C61:J61" si="126">$L$61*((0.0278/(1+POWER(10,7.688-C53))+(1.1994/(1+POWER(10,C53-7.688)))))</f>
        <v>1.8718524877151232</v>
      </c>
      <c r="D61" s="15">
        <f t="shared" si="126"/>
        <v>1.8600191291216346</v>
      </c>
      <c r="E61" s="15">
        <f t="shared" si="126"/>
        <v>1.8453379679938782</v>
      </c>
      <c r="F61" s="15">
        <f t="shared" si="126"/>
        <v>1.8271896902604352</v>
      </c>
      <c r="G61" s="15">
        <f t="shared" si="126"/>
        <v>1.8048559540230329</v>
      </c>
      <c r="H61" s="15">
        <f t="shared" si="126"/>
        <v>1.7775227815755175</v>
      </c>
      <c r="I61" s="15">
        <f t="shared" si="126"/>
        <v>1.7442961313186172</v>
      </c>
      <c r="J61" s="15">
        <f t="shared" si="126"/>
        <v>1.7042351754152492</v>
      </c>
      <c r="K61" s="15">
        <f>$L$61*((0.0278/(1+POWER(10,7.688-K53))+(1.1994/(1+POWER(10,K53-7.688)))))</f>
        <v>1.6564090408797818</v>
      </c>
      <c r="L61" s="9">
        <v>1.6</v>
      </c>
      <c r="M61" s="15">
        <f>$L$61*((0.0278/(1+POWER(10,7.688-M53))+(1.1994/(1+POWER(10,M53-7.688)))))</f>
        <v>1.5343236144209598</v>
      </c>
      <c r="N61" s="15">
        <f t="shared" ref="N61:AF61" si="127">$L$61*((0.0278/(1+POWER(10,7.688-N53))+(1.1994/(1+POWER(10,N53-7.688)))))</f>
        <v>1.4591490589357734</v>
      </c>
      <c r="O61" s="15">
        <f t="shared" si="127"/>
        <v>1.3746526597257971</v>
      </c>
      <c r="P61" s="15">
        <f t="shared" si="127"/>
        <v>1.2816266225266799</v>
      </c>
      <c r="Q61" s="15">
        <f t="shared" si="127"/>
        <v>1.1815180005745327</v>
      </c>
      <c r="R61" s="15">
        <f t="shared" si="127"/>
        <v>1.0763957719217909</v>
      </c>
      <c r="S61" s="15">
        <f t="shared" si="127"/>
        <v>0.96881182205280136</v>
      </c>
      <c r="T61" s="18">
        <f t="shared" si="127"/>
        <v>0.86156804720666624</v>
      </c>
      <c r="U61" s="18">
        <f t="shared" si="127"/>
        <v>0.75743129066088211</v>
      </c>
      <c r="V61" s="18">
        <f t="shared" si="127"/>
        <v>0.65885573296138977</v>
      </c>
      <c r="W61" s="18">
        <f t="shared" si="127"/>
        <v>0.56776973894773131</v>
      </c>
      <c r="X61" s="18">
        <f t="shared" si="127"/>
        <v>0.48546236092440398</v>
      </c>
      <c r="Y61" s="18">
        <f t="shared" si="127"/>
        <v>0.4125744059165789</v>
      </c>
      <c r="Z61" s="18">
        <f t="shared" si="127"/>
        <v>0.34917322527633543</v>
      </c>
      <c r="AA61" s="18">
        <f t="shared" si="127"/>
        <v>0.29487724543731542</v>
      </c>
      <c r="AB61" s="18">
        <f t="shared" si="127"/>
        <v>0.24899626155775745</v>
      </c>
      <c r="AC61" s="18">
        <f t="shared" si="127"/>
        <v>0.21066199605036734</v>
      </c>
      <c r="AD61" s="18">
        <f t="shared" si="127"/>
        <v>0.17893456830874391</v>
      </c>
      <c r="AE61" s="18">
        <f t="shared" si="127"/>
        <v>0.15288017929946773</v>
      </c>
      <c r="AF61" s="18">
        <f t="shared" si="127"/>
        <v>0.13162173289451681</v>
      </c>
    </row>
    <row r="62" spans="1:32" x14ac:dyDescent="0.2">
      <c r="A62" s="228">
        <v>18</v>
      </c>
      <c r="B62" s="15">
        <f>$L$62*((0.0278/(1+POWER(10,7.688-B53))+(1.1994/(1+POWER(10,B53-7.688)))))</f>
        <v>1.7637773996875072</v>
      </c>
      <c r="C62" s="15">
        <f t="shared" ref="C62:J62" si="128">$L$62*((0.0278/(1+POWER(10,7.688-C53))+(1.1994/(1+POWER(10,C53-7.688)))))</f>
        <v>1.754861707232928</v>
      </c>
      <c r="D62" s="15">
        <f t="shared" si="128"/>
        <v>1.7437679335515321</v>
      </c>
      <c r="E62" s="15">
        <f t="shared" si="128"/>
        <v>1.7300043449942608</v>
      </c>
      <c r="F62" s="15">
        <f t="shared" si="128"/>
        <v>1.7129903346191577</v>
      </c>
      <c r="G62" s="15">
        <f t="shared" si="128"/>
        <v>1.6920524568965933</v>
      </c>
      <c r="H62" s="15">
        <f t="shared" si="128"/>
        <v>1.6664276077270475</v>
      </c>
      <c r="I62" s="15">
        <f t="shared" si="128"/>
        <v>1.6352776231112034</v>
      </c>
      <c r="J62" s="15">
        <f t="shared" si="128"/>
        <v>1.5977204769517961</v>
      </c>
      <c r="K62" s="15">
        <f>$L$62*((0.0278/(1+POWER(10,7.688-K53))+(1.1994/(1+POWER(10,K53-7.688)))))</f>
        <v>1.5528834758247954</v>
      </c>
      <c r="L62" s="9">
        <v>1.5</v>
      </c>
      <c r="M62" s="15">
        <f>$L$62*((0.0278/(1+POWER(10,7.688-M53))+(1.1994/(1+POWER(10,M53-7.688)))))</f>
        <v>1.4384283885196496</v>
      </c>
      <c r="N62" s="15">
        <f t="shared" ref="N62:AF62" si="129">$L$62*((0.0278/(1+POWER(10,7.688-N53))+(1.1994/(1+POWER(10,N53-7.688)))))</f>
        <v>1.3679522427522874</v>
      </c>
      <c r="O62" s="15">
        <f t="shared" si="129"/>
        <v>1.2887368684929348</v>
      </c>
      <c r="P62" s="15">
        <f t="shared" si="129"/>
        <v>1.2015249586187622</v>
      </c>
      <c r="Q62" s="15">
        <f t="shared" si="129"/>
        <v>1.1076731255386243</v>
      </c>
      <c r="R62" s="15">
        <f t="shared" si="129"/>
        <v>1.0091210361766789</v>
      </c>
      <c r="S62" s="18">
        <f t="shared" si="129"/>
        <v>0.90826108317450127</v>
      </c>
      <c r="T62" s="15">
        <f t="shared" si="129"/>
        <v>0.80772004425624955</v>
      </c>
      <c r="U62" s="18">
        <f t="shared" si="129"/>
        <v>0.71009183499457695</v>
      </c>
      <c r="V62" s="18">
        <f t="shared" si="129"/>
        <v>0.61767724965130277</v>
      </c>
      <c r="W62" s="18">
        <f t="shared" si="129"/>
        <v>0.53228413026349808</v>
      </c>
      <c r="X62" s="18">
        <f t="shared" si="129"/>
        <v>0.45512096336662866</v>
      </c>
      <c r="Y62" s="18">
        <f t="shared" si="129"/>
        <v>0.38678850554679267</v>
      </c>
      <c r="Z62" s="18">
        <f t="shared" si="129"/>
        <v>0.32734989869656445</v>
      </c>
      <c r="AA62" s="18">
        <f t="shared" si="129"/>
        <v>0.2764474175974832</v>
      </c>
      <c r="AB62" s="18">
        <f t="shared" si="129"/>
        <v>0.23343399521039759</v>
      </c>
      <c r="AC62" s="18">
        <f t="shared" si="129"/>
        <v>0.19749562129721937</v>
      </c>
      <c r="AD62" s="18">
        <f t="shared" si="129"/>
        <v>0.16775115778944741</v>
      </c>
      <c r="AE62" s="18">
        <f t="shared" si="129"/>
        <v>0.14332516809325097</v>
      </c>
      <c r="AF62" s="18">
        <f t="shared" si="129"/>
        <v>0.1233953745886095</v>
      </c>
    </row>
    <row r="63" spans="1:32" x14ac:dyDescent="0.2">
      <c r="A63" s="228">
        <v>19</v>
      </c>
      <c r="B63" s="15">
        <f>$L$63*((0.0278/(1+POWER(10,7.688-B53))+(1.1994/(1+POWER(10,B53-7.688)))))</f>
        <v>1.6461922397083399</v>
      </c>
      <c r="C63" s="15">
        <f t="shared" ref="C63:J63" si="130">$L$63*((0.0278/(1+POWER(10,7.688-C53))+(1.1994/(1+POWER(10,C53-7.688)))))</f>
        <v>1.6378709267507328</v>
      </c>
      <c r="D63" s="15">
        <f t="shared" si="130"/>
        <v>1.6275167379814299</v>
      </c>
      <c r="E63" s="15">
        <f t="shared" si="130"/>
        <v>1.6146707219946432</v>
      </c>
      <c r="F63" s="15">
        <f t="shared" si="130"/>
        <v>1.5987909789778805</v>
      </c>
      <c r="G63" s="15">
        <f t="shared" si="130"/>
        <v>1.5792489597701538</v>
      </c>
      <c r="H63" s="15">
        <f t="shared" si="130"/>
        <v>1.5553324338785774</v>
      </c>
      <c r="I63" s="15">
        <f t="shared" si="130"/>
        <v>1.5262591149037898</v>
      </c>
      <c r="J63" s="15">
        <f t="shared" si="130"/>
        <v>1.491205778488343</v>
      </c>
      <c r="K63" s="15">
        <f>$L$63*((0.0278/(1+POWER(10,7.688-K53))+(1.1994/(1+POWER(10,K53-7.688)))))</f>
        <v>1.4493579107698089</v>
      </c>
      <c r="L63" s="9">
        <v>1.4</v>
      </c>
      <c r="M63" s="15">
        <f>$L$63*((0.0278/(1+POWER(10,7.688-M53))+(1.1994/(1+POWER(10,M53-7.688)))))</f>
        <v>1.3425331626183397</v>
      </c>
      <c r="N63" s="15">
        <f t="shared" ref="N63:AF63" si="131">$L$63*((0.0278/(1+POWER(10,7.688-N53))+(1.1994/(1+POWER(10,N53-7.688)))))</f>
        <v>1.2767554265688015</v>
      </c>
      <c r="O63" s="15">
        <f t="shared" si="131"/>
        <v>1.2028210772600723</v>
      </c>
      <c r="P63" s="15">
        <f t="shared" si="131"/>
        <v>1.1214232947108447</v>
      </c>
      <c r="Q63" s="15">
        <f t="shared" si="131"/>
        <v>1.0338282505027159</v>
      </c>
      <c r="R63" s="18">
        <f t="shared" si="131"/>
        <v>0.94184630043156692</v>
      </c>
      <c r="S63" s="18">
        <f t="shared" si="131"/>
        <v>0.84771034429620107</v>
      </c>
      <c r="T63" s="18">
        <f t="shared" si="131"/>
        <v>0.75387204130583296</v>
      </c>
      <c r="U63" s="18">
        <f t="shared" si="131"/>
        <v>0.6627523793282718</v>
      </c>
      <c r="V63" s="18">
        <f t="shared" si="131"/>
        <v>0.57649876634121588</v>
      </c>
      <c r="W63" s="18">
        <f t="shared" si="131"/>
        <v>0.49679852157926485</v>
      </c>
      <c r="X63" s="18">
        <f t="shared" si="131"/>
        <v>0.4247795658088534</v>
      </c>
      <c r="Y63" s="18">
        <f t="shared" si="131"/>
        <v>0.3610026051770065</v>
      </c>
      <c r="Z63" s="18">
        <f t="shared" si="131"/>
        <v>0.30552657211679346</v>
      </c>
      <c r="AA63" s="18">
        <f t="shared" si="131"/>
        <v>0.25801758975765099</v>
      </c>
      <c r="AB63" s="18">
        <f t="shared" si="131"/>
        <v>0.21787172886303777</v>
      </c>
      <c r="AC63" s="18">
        <f t="shared" si="131"/>
        <v>0.1843292465440714</v>
      </c>
      <c r="AD63" s="18">
        <f t="shared" si="131"/>
        <v>0.15656774727015091</v>
      </c>
      <c r="AE63" s="18">
        <f t="shared" si="131"/>
        <v>0.13377015688703423</v>
      </c>
      <c r="AF63" s="18">
        <f t="shared" si="131"/>
        <v>0.11516901628270219</v>
      </c>
    </row>
    <row r="64" spans="1:32" x14ac:dyDescent="0.2">
      <c r="A64" s="228">
        <v>20</v>
      </c>
      <c r="B64" s="15">
        <f>$L$64*((0.0278/(1+POWER(10,7.688-B53))+(1.1994/(1+POWER(10,B53-7.688)))))</f>
        <v>1.6461922397083399</v>
      </c>
      <c r="C64" s="15">
        <f t="shared" ref="C64:J64" si="132">$L$64*((0.0278/(1+POWER(10,7.688-C53))+(1.1994/(1+POWER(10,C53-7.688)))))</f>
        <v>1.6378709267507328</v>
      </c>
      <c r="D64" s="15">
        <f t="shared" si="132"/>
        <v>1.6275167379814299</v>
      </c>
      <c r="E64" s="15">
        <f t="shared" si="132"/>
        <v>1.6146707219946432</v>
      </c>
      <c r="F64" s="15">
        <f t="shared" si="132"/>
        <v>1.5987909789778805</v>
      </c>
      <c r="G64" s="15">
        <f t="shared" si="132"/>
        <v>1.5792489597701538</v>
      </c>
      <c r="H64" s="15">
        <f t="shared" si="132"/>
        <v>1.5553324338785774</v>
      </c>
      <c r="I64" s="15">
        <f t="shared" si="132"/>
        <v>1.5262591149037898</v>
      </c>
      <c r="J64" s="15">
        <f t="shared" si="132"/>
        <v>1.491205778488343</v>
      </c>
      <c r="K64" s="15">
        <f>$L$64*((0.0278/(1+POWER(10,7.688-K53))+(1.1994/(1+POWER(10,K53-7.688)))))</f>
        <v>1.4493579107698089</v>
      </c>
      <c r="L64" s="9">
        <v>1.4</v>
      </c>
      <c r="M64" s="15">
        <f>$L$64*((0.0278/(1+POWER(10,7.688-M53))+(1.1994/(1+POWER(10,M53-7.688)))))</f>
        <v>1.3425331626183397</v>
      </c>
      <c r="N64" s="15">
        <f t="shared" ref="N64:AF64" si="133">$L$64*((0.0278/(1+POWER(10,7.688-N53))+(1.1994/(1+POWER(10,N53-7.688)))))</f>
        <v>1.2767554265688015</v>
      </c>
      <c r="O64" s="15">
        <f t="shared" si="133"/>
        <v>1.2028210772600723</v>
      </c>
      <c r="P64" s="15">
        <f t="shared" si="133"/>
        <v>1.1214232947108447</v>
      </c>
      <c r="Q64" s="15">
        <f t="shared" si="133"/>
        <v>1.0338282505027159</v>
      </c>
      <c r="R64" s="18">
        <f t="shared" si="133"/>
        <v>0.94184630043156692</v>
      </c>
      <c r="S64" s="18">
        <f t="shared" si="133"/>
        <v>0.84771034429620107</v>
      </c>
      <c r="T64" s="18">
        <f t="shared" si="133"/>
        <v>0.75387204130583296</v>
      </c>
      <c r="U64" s="18">
        <f t="shared" si="133"/>
        <v>0.6627523793282718</v>
      </c>
      <c r="V64" s="436">
        <f t="shared" si="133"/>
        <v>0.57649876634121588</v>
      </c>
      <c r="W64" s="18">
        <f t="shared" si="133"/>
        <v>0.49679852157926485</v>
      </c>
      <c r="X64" s="18">
        <f t="shared" si="133"/>
        <v>0.4247795658088534</v>
      </c>
      <c r="Y64" s="18">
        <f t="shared" si="133"/>
        <v>0.3610026051770065</v>
      </c>
      <c r="Z64" s="18">
        <f t="shared" si="133"/>
        <v>0.30552657211679346</v>
      </c>
      <c r="AA64" s="18">
        <f t="shared" si="133"/>
        <v>0.25801758975765099</v>
      </c>
      <c r="AB64" s="18">
        <f t="shared" si="133"/>
        <v>0.21787172886303777</v>
      </c>
      <c r="AC64" s="18">
        <f t="shared" si="133"/>
        <v>0.1843292465440714</v>
      </c>
      <c r="AD64" s="18">
        <f t="shared" si="133"/>
        <v>0.15656774727015091</v>
      </c>
      <c r="AE64" s="18">
        <f t="shared" si="133"/>
        <v>0.13377015688703423</v>
      </c>
      <c r="AF64" s="18">
        <f t="shared" si="133"/>
        <v>0.11516901628270219</v>
      </c>
    </row>
    <row r="65" spans="1:32" x14ac:dyDescent="0.2">
      <c r="A65" s="228">
        <v>21</v>
      </c>
      <c r="B65" s="15">
        <f>$L$65*((0.0278/(1+POWER(10,7.688-B53))+(1.1994/(1+POWER(10,B53-7.688)))))</f>
        <v>1.5286070797291729</v>
      </c>
      <c r="C65" s="15">
        <f t="shared" ref="C65:J65" si="134">$L$65*((0.0278/(1+POWER(10,7.688-C53))+(1.1994/(1+POWER(10,C53-7.688)))))</f>
        <v>1.5208801462685377</v>
      </c>
      <c r="D65" s="15">
        <f t="shared" si="134"/>
        <v>1.5112655424113279</v>
      </c>
      <c r="E65" s="15">
        <f t="shared" si="134"/>
        <v>1.4993370989950261</v>
      </c>
      <c r="F65" s="15">
        <f t="shared" si="134"/>
        <v>1.4845916233366034</v>
      </c>
      <c r="G65" s="15">
        <f t="shared" si="134"/>
        <v>1.4664454626437142</v>
      </c>
      <c r="H65" s="15">
        <f t="shared" si="134"/>
        <v>1.4442372600301079</v>
      </c>
      <c r="I65" s="15">
        <f t="shared" si="134"/>
        <v>1.4172406066963765</v>
      </c>
      <c r="J65" s="15">
        <f t="shared" si="134"/>
        <v>1.3846910800248899</v>
      </c>
      <c r="K65" s="15">
        <f>$L$65*((0.0278/(1+POWER(10,7.688-K53))+(1.1994/(1+POWER(10,K53-7.688)))))</f>
        <v>1.3458323457148227</v>
      </c>
      <c r="L65" s="9">
        <v>1.3</v>
      </c>
      <c r="M65" s="15">
        <f>$L$65*((0.0278/(1+POWER(10,7.688-M53))+(1.1994/(1+POWER(10,M53-7.688)))))</f>
        <v>1.2466379367170297</v>
      </c>
      <c r="N65" s="15">
        <f t="shared" ref="N65:AF65" si="135">$L$65*((0.0278/(1+POWER(10,7.688-N53))+(1.1994/(1+POWER(10,N53-7.688)))))</f>
        <v>1.1855586103853157</v>
      </c>
      <c r="O65" s="15">
        <f t="shared" si="135"/>
        <v>1.1169052860272102</v>
      </c>
      <c r="P65" s="15">
        <f t="shared" si="135"/>
        <v>1.0413216308029274</v>
      </c>
      <c r="Q65" s="18">
        <f t="shared" si="135"/>
        <v>0.95998337546680779</v>
      </c>
      <c r="R65" s="18">
        <f t="shared" si="135"/>
        <v>0.87457156468645503</v>
      </c>
      <c r="S65" s="18">
        <f t="shared" si="135"/>
        <v>0.78715960541790109</v>
      </c>
      <c r="T65" s="18">
        <f t="shared" si="135"/>
        <v>0.70002403835541638</v>
      </c>
      <c r="U65" s="18">
        <f t="shared" si="135"/>
        <v>0.61541292366196676</v>
      </c>
      <c r="V65" s="18">
        <f t="shared" si="135"/>
        <v>0.53532028303112911</v>
      </c>
      <c r="W65" s="18">
        <f t="shared" si="135"/>
        <v>0.46131291289503168</v>
      </c>
      <c r="X65" s="18">
        <f t="shared" si="135"/>
        <v>0.39443816825107819</v>
      </c>
      <c r="Y65" s="18">
        <f t="shared" si="135"/>
        <v>0.33521670480722038</v>
      </c>
      <c r="Z65" s="18">
        <f t="shared" si="135"/>
        <v>0.28370324553702253</v>
      </c>
      <c r="AA65" s="18">
        <f t="shared" si="135"/>
        <v>0.23958776191781878</v>
      </c>
      <c r="AB65" s="18">
        <f t="shared" si="135"/>
        <v>0.20230946251567794</v>
      </c>
      <c r="AC65" s="18">
        <f t="shared" si="135"/>
        <v>0.17116287179092346</v>
      </c>
      <c r="AD65" s="18">
        <f t="shared" si="135"/>
        <v>0.14538433675085444</v>
      </c>
      <c r="AE65" s="18">
        <f t="shared" si="135"/>
        <v>0.12421514568081753</v>
      </c>
      <c r="AF65" s="18">
        <f t="shared" si="135"/>
        <v>0.10694265797679491</v>
      </c>
    </row>
    <row r="66" spans="1:32" x14ac:dyDescent="0.2">
      <c r="A66" s="228">
        <v>22</v>
      </c>
      <c r="B66" s="15">
        <f>$L$66*((0.0278/(1+POWER(10,7.688-B53))+(1.1994/(1+POWER(10,B53-7.688)))))</f>
        <v>1.4110219197500056</v>
      </c>
      <c r="C66" s="15">
        <f t="shared" ref="C66:J66" si="136">$L$66*((0.0278/(1+POWER(10,7.688-C53))+(1.1994/(1+POWER(10,C53-7.688)))))</f>
        <v>1.4038893657863423</v>
      </c>
      <c r="D66" s="15">
        <f t="shared" si="136"/>
        <v>1.3950143468412257</v>
      </c>
      <c r="E66" s="15">
        <f t="shared" si="136"/>
        <v>1.3840034759954085</v>
      </c>
      <c r="F66" s="15">
        <f t="shared" si="136"/>
        <v>1.3703922676953262</v>
      </c>
      <c r="G66" s="15">
        <f t="shared" si="136"/>
        <v>1.3536419655172747</v>
      </c>
      <c r="H66" s="15">
        <f t="shared" si="136"/>
        <v>1.3331420861816379</v>
      </c>
      <c r="I66" s="15">
        <f t="shared" si="136"/>
        <v>1.3082220984889628</v>
      </c>
      <c r="J66" s="15">
        <f t="shared" si="136"/>
        <v>1.2781763815614369</v>
      </c>
      <c r="K66" s="15">
        <f>$L$66*((0.0278/(1+POWER(10,7.688-K53))+(1.1994/(1+POWER(10,K53-7.688)))))</f>
        <v>1.2423067806598362</v>
      </c>
      <c r="L66" s="9">
        <v>1.2</v>
      </c>
      <c r="M66" s="15">
        <f>$L$66*((0.0278/(1+POWER(10,7.688-M53))+(1.1994/(1+POWER(10,M53-7.688)))))</f>
        <v>1.1507427108157198</v>
      </c>
      <c r="N66" s="15">
        <f t="shared" ref="N66:AF66" si="137">$L$66*((0.0278/(1+POWER(10,7.688-N53))+(1.1994/(1+POWER(10,N53-7.688)))))</f>
        <v>1.09436179420183</v>
      </c>
      <c r="O66" s="15">
        <f t="shared" si="137"/>
        <v>1.0309894947943476</v>
      </c>
      <c r="P66" s="18">
        <f t="shared" si="137"/>
        <v>0.96121996689500977</v>
      </c>
      <c r="Q66" s="18">
        <f t="shared" si="137"/>
        <v>0.88613850043089937</v>
      </c>
      <c r="R66" s="18">
        <f t="shared" si="137"/>
        <v>0.80729682894134303</v>
      </c>
      <c r="S66" s="18">
        <f t="shared" si="137"/>
        <v>0.72660886653960099</v>
      </c>
      <c r="T66" s="18">
        <f t="shared" si="137"/>
        <v>0.64617603540499968</v>
      </c>
      <c r="U66" s="18">
        <f t="shared" si="137"/>
        <v>0.5680734679956615</v>
      </c>
      <c r="V66" s="18">
        <f t="shared" si="137"/>
        <v>0.49414179972104222</v>
      </c>
      <c r="W66" s="18">
        <f t="shared" si="137"/>
        <v>0.42582730421079845</v>
      </c>
      <c r="X66" s="18">
        <f t="shared" si="137"/>
        <v>0.36409677069330293</v>
      </c>
      <c r="Y66" s="18">
        <f t="shared" si="137"/>
        <v>0.30943080443743415</v>
      </c>
      <c r="Z66" s="18">
        <f t="shared" si="137"/>
        <v>0.26187991895725155</v>
      </c>
      <c r="AA66" s="18">
        <f t="shared" si="137"/>
        <v>0.22115793407798656</v>
      </c>
      <c r="AB66" s="18">
        <f t="shared" si="137"/>
        <v>0.18674719616831809</v>
      </c>
      <c r="AC66" s="18">
        <f t="shared" si="137"/>
        <v>0.15799649703777549</v>
      </c>
      <c r="AD66" s="18">
        <f t="shared" si="137"/>
        <v>0.13420092623155791</v>
      </c>
      <c r="AE66" s="18">
        <f t="shared" si="137"/>
        <v>0.11466013447460077</v>
      </c>
      <c r="AF66" s="26">
        <f t="shared" si="137"/>
        <v>9.8716299670887589E-2</v>
      </c>
    </row>
    <row r="67" spans="1:32" x14ac:dyDescent="0.2">
      <c r="A67" s="228">
        <v>23</v>
      </c>
      <c r="B67" s="15">
        <f>$L$67*((0.0278/(1+POWER(10,7.688-B53))+(1.1994/(1+POWER(10,B53-7.688)))))</f>
        <v>1.4110219197500056</v>
      </c>
      <c r="C67" s="15">
        <f t="shared" ref="C67:J67" si="138">$L$67*((0.0278/(1+POWER(10,7.688-C53))+(1.1994/(1+POWER(10,C53-7.688)))))</f>
        <v>1.4038893657863423</v>
      </c>
      <c r="D67" s="15">
        <f t="shared" si="138"/>
        <v>1.3950143468412257</v>
      </c>
      <c r="E67" s="15">
        <f t="shared" si="138"/>
        <v>1.3840034759954085</v>
      </c>
      <c r="F67" s="15">
        <f t="shared" si="138"/>
        <v>1.3703922676953262</v>
      </c>
      <c r="G67" s="15">
        <f t="shared" si="138"/>
        <v>1.3536419655172747</v>
      </c>
      <c r="H67" s="15">
        <f t="shared" si="138"/>
        <v>1.3331420861816379</v>
      </c>
      <c r="I67" s="15">
        <f t="shared" si="138"/>
        <v>1.3082220984889628</v>
      </c>
      <c r="J67" s="15">
        <f t="shared" si="138"/>
        <v>1.2781763815614369</v>
      </c>
      <c r="K67" s="15">
        <f>$L$67*((0.0278/(1+POWER(10,7.688-K53))+(1.1994/(1+POWER(10,K53-7.688)))))</f>
        <v>1.2423067806598362</v>
      </c>
      <c r="L67" s="9">
        <v>1.2</v>
      </c>
      <c r="M67" s="15">
        <f>$L$67*((0.0278/(1+POWER(10,7.688-M53))+(1.1994/(1+POWER(10,M53-7.688)))))</f>
        <v>1.1507427108157198</v>
      </c>
      <c r="N67" s="15">
        <f t="shared" ref="N67:AF67" si="139">$L$67*((0.0278/(1+POWER(10,7.688-N53))+(1.1994/(1+POWER(10,N53-7.688)))))</f>
        <v>1.09436179420183</v>
      </c>
      <c r="O67" s="15">
        <f t="shared" si="139"/>
        <v>1.0309894947943476</v>
      </c>
      <c r="P67" s="18">
        <f t="shared" si="139"/>
        <v>0.96121996689500977</v>
      </c>
      <c r="Q67" s="18">
        <f t="shared" si="139"/>
        <v>0.88613850043089937</v>
      </c>
      <c r="R67" s="18">
        <f t="shared" si="139"/>
        <v>0.80729682894134303</v>
      </c>
      <c r="S67" s="18">
        <f t="shared" si="139"/>
        <v>0.72660886653960099</v>
      </c>
      <c r="T67" s="18">
        <f t="shared" si="139"/>
        <v>0.64617603540499968</v>
      </c>
      <c r="U67" s="18">
        <f t="shared" si="139"/>
        <v>0.5680734679956615</v>
      </c>
      <c r="V67" s="18">
        <f t="shared" si="139"/>
        <v>0.49414179972104222</v>
      </c>
      <c r="W67" s="18">
        <f t="shared" si="139"/>
        <v>0.42582730421079845</v>
      </c>
      <c r="X67" s="18">
        <f t="shared" si="139"/>
        <v>0.36409677069330293</v>
      </c>
      <c r="Y67" s="18">
        <f t="shared" si="139"/>
        <v>0.30943080443743415</v>
      </c>
      <c r="Z67" s="18">
        <f t="shared" si="139"/>
        <v>0.26187991895725155</v>
      </c>
      <c r="AA67" s="18">
        <f t="shared" si="139"/>
        <v>0.22115793407798656</v>
      </c>
      <c r="AB67" s="18">
        <f t="shared" si="139"/>
        <v>0.18674719616831809</v>
      </c>
      <c r="AC67" s="18">
        <f t="shared" si="139"/>
        <v>0.15799649703777549</v>
      </c>
      <c r="AD67" s="18">
        <f t="shared" si="139"/>
        <v>0.13420092623155791</v>
      </c>
      <c r="AE67" s="18">
        <f t="shared" si="139"/>
        <v>0.11466013447460077</v>
      </c>
      <c r="AF67" s="26">
        <f t="shared" si="139"/>
        <v>9.8716299670887589E-2</v>
      </c>
    </row>
    <row r="68" spans="1:32" x14ac:dyDescent="0.2">
      <c r="A68" s="228">
        <v>24</v>
      </c>
      <c r="B68" s="15">
        <f>$L$68*((0.0278/(1+POWER(10,7.688-B53))+(1.1994/(1+POWER(10,B53-7.688)))))</f>
        <v>1.2934367597708387</v>
      </c>
      <c r="C68" s="15">
        <f t="shared" ref="C68:J68" si="140">$L$68*((0.0278/(1+POWER(10,7.688-C53))+(1.1994/(1+POWER(10,C53-7.688)))))</f>
        <v>1.2868985853041472</v>
      </c>
      <c r="D68" s="15">
        <f t="shared" si="140"/>
        <v>1.2787631512711237</v>
      </c>
      <c r="E68" s="15">
        <f t="shared" si="140"/>
        <v>1.2686698529957914</v>
      </c>
      <c r="F68" s="15">
        <f t="shared" si="140"/>
        <v>1.2561929120540491</v>
      </c>
      <c r="G68" s="15">
        <f t="shared" si="140"/>
        <v>1.2408384683908351</v>
      </c>
      <c r="H68" s="15">
        <f t="shared" si="140"/>
        <v>1.2220469123331683</v>
      </c>
      <c r="I68" s="15">
        <f t="shared" si="140"/>
        <v>1.1992035902815494</v>
      </c>
      <c r="J68" s="15">
        <f t="shared" si="140"/>
        <v>1.1716616830979838</v>
      </c>
      <c r="K68" s="15">
        <f>$L$68*((0.0278/(1+POWER(10,7.688-K53))+(1.1994/(1+POWER(10,K53-7.688)))))</f>
        <v>1.13878121560485</v>
      </c>
      <c r="L68" s="9">
        <v>1.1000000000000001</v>
      </c>
      <c r="M68" s="15">
        <f>$L$68*((0.0278/(1+POWER(10,7.688-M53))+(1.1994/(1+POWER(10,M53-7.688)))))</f>
        <v>1.0548474849144098</v>
      </c>
      <c r="N68" s="15">
        <f t="shared" ref="N68:AF68" si="141">$L$68*((0.0278/(1+POWER(10,7.688-N53))+(1.1994/(1+POWER(10,N53-7.688)))))</f>
        <v>1.0031649780183443</v>
      </c>
      <c r="O68" s="18">
        <f t="shared" si="141"/>
        <v>0.94507370356148557</v>
      </c>
      <c r="P68" s="18">
        <f t="shared" si="141"/>
        <v>0.88111830298709237</v>
      </c>
      <c r="Q68" s="18">
        <f t="shared" si="141"/>
        <v>0.81229362539499117</v>
      </c>
      <c r="R68" s="18">
        <f t="shared" si="141"/>
        <v>0.74002209319623125</v>
      </c>
      <c r="S68" s="18">
        <f t="shared" si="141"/>
        <v>0.6660581276613009</v>
      </c>
      <c r="T68" s="18">
        <f t="shared" si="141"/>
        <v>0.5923280324545831</v>
      </c>
      <c r="U68" s="18">
        <f t="shared" si="141"/>
        <v>0.52073401232935645</v>
      </c>
      <c r="V68" s="18">
        <f t="shared" si="141"/>
        <v>0.45296331641095544</v>
      </c>
      <c r="W68" s="18">
        <f t="shared" si="141"/>
        <v>0.39034169552656528</v>
      </c>
      <c r="X68" s="18">
        <f t="shared" si="141"/>
        <v>0.33375537313552772</v>
      </c>
      <c r="Y68" s="18">
        <f t="shared" si="141"/>
        <v>0.28364490406764803</v>
      </c>
      <c r="Z68" s="18">
        <f t="shared" si="141"/>
        <v>0.24005659237748062</v>
      </c>
      <c r="AA68" s="18">
        <f t="shared" si="141"/>
        <v>0.20272810623815438</v>
      </c>
      <c r="AB68" s="18">
        <f t="shared" si="141"/>
        <v>0.17118492982095826</v>
      </c>
      <c r="AC68" s="18">
        <f t="shared" si="141"/>
        <v>0.14483012228462755</v>
      </c>
      <c r="AD68" s="18">
        <f t="shared" si="141"/>
        <v>0.12301751571226144</v>
      </c>
      <c r="AE68" s="26">
        <f t="shared" si="141"/>
        <v>0.10510512326838406</v>
      </c>
      <c r="AF68" s="26">
        <f t="shared" si="141"/>
        <v>9.04899413649803E-2</v>
      </c>
    </row>
    <row r="69" spans="1:32" x14ac:dyDescent="0.2">
      <c r="A69" s="228">
        <v>25</v>
      </c>
      <c r="B69" s="15">
        <f>$L$69*((0.0278/(1+POWER(10,7.688-B53))+(1.1994/(1+POWER(10,B53-7.688)))))</f>
        <v>1.1758515997916714</v>
      </c>
      <c r="C69" s="15">
        <f t="shared" ref="C69:J69" si="142">$L$69*((0.0278/(1+POWER(10,7.688-C53))+(1.1994/(1+POWER(10,C53-7.688)))))</f>
        <v>1.169907804821952</v>
      </c>
      <c r="D69" s="15">
        <f t="shared" si="142"/>
        <v>1.1625119557010215</v>
      </c>
      <c r="E69" s="15">
        <f t="shared" si="142"/>
        <v>1.1533362299961738</v>
      </c>
      <c r="F69" s="15">
        <f t="shared" si="142"/>
        <v>1.1419935564127719</v>
      </c>
      <c r="G69" s="15">
        <f t="shared" si="142"/>
        <v>1.1280349712643956</v>
      </c>
      <c r="H69" s="15">
        <f t="shared" si="142"/>
        <v>1.1109517384846983</v>
      </c>
      <c r="I69" s="15">
        <f t="shared" si="142"/>
        <v>1.0901850820741357</v>
      </c>
      <c r="J69" s="15">
        <f t="shared" si="142"/>
        <v>1.0651469846345307</v>
      </c>
      <c r="K69" s="15">
        <f>$L$69*((0.0278/(1+POWER(10,7.688-K53))+(1.1994/(1+POWER(10,K53-7.688)))))</f>
        <v>1.0352556505498636</v>
      </c>
      <c r="L69" s="15">
        <v>1</v>
      </c>
      <c r="M69" s="18">
        <f>$L$69*((0.0278/(1+POWER(10,7.688-M53))+(1.1994/(1+POWER(10,M53-7.688)))))</f>
        <v>0.95895225901309977</v>
      </c>
      <c r="N69" s="18">
        <f t="shared" ref="N69:AF69" si="143">$L$69*((0.0278/(1+POWER(10,7.688-N53))+(1.1994/(1+POWER(10,N53-7.688)))))</f>
        <v>0.91196816183485829</v>
      </c>
      <c r="O69" s="18">
        <f t="shared" si="143"/>
        <v>0.85915791232862315</v>
      </c>
      <c r="P69" s="18">
        <f t="shared" si="143"/>
        <v>0.80101663907917486</v>
      </c>
      <c r="Q69" s="18">
        <f t="shared" si="143"/>
        <v>0.73844875035908286</v>
      </c>
      <c r="R69" s="18">
        <f t="shared" si="143"/>
        <v>0.67274735745111924</v>
      </c>
      <c r="S69" s="18">
        <f t="shared" si="143"/>
        <v>0.60550738878300081</v>
      </c>
      <c r="T69" s="18">
        <f t="shared" si="143"/>
        <v>0.5384800295041664</v>
      </c>
      <c r="U69" s="18">
        <f t="shared" si="143"/>
        <v>0.4733945566630513</v>
      </c>
      <c r="V69" s="18">
        <f t="shared" si="143"/>
        <v>0.41178483310086855</v>
      </c>
      <c r="W69" s="18">
        <f t="shared" si="143"/>
        <v>0.35485608684233205</v>
      </c>
      <c r="X69" s="18">
        <f t="shared" si="143"/>
        <v>0.30341397557775246</v>
      </c>
      <c r="Y69" s="18">
        <f t="shared" si="143"/>
        <v>0.2578590036978618</v>
      </c>
      <c r="Z69" s="18">
        <f t="shared" si="143"/>
        <v>0.21823326579770963</v>
      </c>
      <c r="AA69" s="18">
        <f t="shared" si="143"/>
        <v>0.18429827839832214</v>
      </c>
      <c r="AB69" s="18">
        <f t="shared" si="143"/>
        <v>0.1556226634735984</v>
      </c>
      <c r="AC69" s="18">
        <f t="shared" si="143"/>
        <v>0.13166374753147958</v>
      </c>
      <c r="AD69" s="18">
        <f t="shared" si="143"/>
        <v>0.11183410519296494</v>
      </c>
      <c r="AE69" s="26">
        <f t="shared" si="143"/>
        <v>9.5550112062167319E-2</v>
      </c>
      <c r="AF69" s="26">
        <f t="shared" si="143"/>
        <v>8.2263583059072998E-2</v>
      </c>
    </row>
    <row r="70" spans="1:32" x14ac:dyDescent="0.2">
      <c r="A70" s="228">
        <v>26</v>
      </c>
      <c r="B70" s="15">
        <f>$L$70*((0.0278/(1+POWER(10,7.688-B53))+(1.1994/(1+POWER(10,B53-7.688)))))</f>
        <v>1.1405760517979213</v>
      </c>
      <c r="C70" s="15">
        <f t="shared" ref="C70:J70" si="144">$L$70*((0.0278/(1+POWER(10,7.688-C53))+(1.1994/(1+POWER(10,C53-7.688)))))</f>
        <v>1.1348105706772935</v>
      </c>
      <c r="D70" s="15">
        <f t="shared" si="144"/>
        <v>1.1276365970299909</v>
      </c>
      <c r="E70" s="15">
        <f t="shared" si="144"/>
        <v>1.1187361430962885</v>
      </c>
      <c r="F70" s="15">
        <f t="shared" si="144"/>
        <v>1.1077337497203887</v>
      </c>
      <c r="G70" s="15">
        <f t="shared" si="144"/>
        <v>1.0941939221264636</v>
      </c>
      <c r="H70" s="15">
        <f t="shared" si="144"/>
        <v>1.0776231863301573</v>
      </c>
      <c r="I70" s="15">
        <f t="shared" si="144"/>
        <v>1.0574795296119115</v>
      </c>
      <c r="J70" s="15">
        <f t="shared" si="144"/>
        <v>1.0331925750954947</v>
      </c>
      <c r="K70" s="15">
        <f>$L$70*((0.0278/(1+POWER(10,7.688-K53))+(1.1994/(1+POWER(10,K53-7.688)))))</f>
        <v>1.0041979810333677</v>
      </c>
      <c r="L70" s="18">
        <v>0.97</v>
      </c>
      <c r="M70" s="18">
        <f>$L$70*((0.0278/(1+POWER(10,7.688-M53))+(1.1994/(1+POWER(10,M53-7.688)))))</f>
        <v>0.93018369124270672</v>
      </c>
      <c r="N70" s="18">
        <f t="shared" ref="N70:AF70" si="145">$L$70*((0.0278/(1+POWER(10,7.688-N53))+(1.1994/(1+POWER(10,N53-7.688)))))</f>
        <v>0.88460911697981248</v>
      </c>
      <c r="O70" s="18">
        <f t="shared" si="145"/>
        <v>0.83338317495876446</v>
      </c>
      <c r="P70" s="18">
        <f t="shared" si="145"/>
        <v>0.77698613990679954</v>
      </c>
      <c r="Q70" s="18">
        <f t="shared" si="145"/>
        <v>0.71629528784831031</v>
      </c>
      <c r="R70" s="18">
        <f t="shared" si="145"/>
        <v>0.65256493672758564</v>
      </c>
      <c r="S70" s="18">
        <f t="shared" si="145"/>
        <v>0.58734216711951082</v>
      </c>
      <c r="T70" s="18">
        <f t="shared" si="145"/>
        <v>0.52232562861904142</v>
      </c>
      <c r="U70" s="18">
        <f t="shared" si="145"/>
        <v>0.45919271996315975</v>
      </c>
      <c r="V70" s="18">
        <f t="shared" si="145"/>
        <v>0.39943128810784251</v>
      </c>
      <c r="W70" s="18">
        <f t="shared" si="145"/>
        <v>0.34421040423706206</v>
      </c>
      <c r="X70" s="18">
        <f t="shared" si="145"/>
        <v>0.29431155631041989</v>
      </c>
      <c r="Y70" s="18">
        <f t="shared" si="145"/>
        <v>0.25012323358692595</v>
      </c>
      <c r="Z70" s="18">
        <f t="shared" si="145"/>
        <v>0.21168626782377833</v>
      </c>
      <c r="AA70" s="18">
        <f t="shared" si="145"/>
        <v>0.17876933004637247</v>
      </c>
      <c r="AB70" s="18">
        <f t="shared" si="145"/>
        <v>0.15095398356939044</v>
      </c>
      <c r="AC70" s="18">
        <f t="shared" si="145"/>
        <v>0.12771383510553519</v>
      </c>
      <c r="AD70" s="18">
        <f t="shared" si="145"/>
        <v>0.10847908203717599</v>
      </c>
      <c r="AE70" s="26">
        <f t="shared" si="145"/>
        <v>9.2683608700302303E-2</v>
      </c>
      <c r="AF70" s="26">
        <f t="shared" si="145"/>
        <v>7.97956755673008E-2</v>
      </c>
    </row>
    <row r="71" spans="1:32" x14ac:dyDescent="0.2">
      <c r="A71" s="228">
        <v>27</v>
      </c>
      <c r="B71" s="15">
        <f>$L$71*((0.0278/(1+POWER(10,7.688-B53))+(1.1994/(1+POWER(10,B53-7.688)))))</f>
        <v>1.0700249558104211</v>
      </c>
      <c r="C71" s="15">
        <f t="shared" ref="C71:J71" si="146">$L$71*((0.0278/(1+POWER(10,7.688-C53))+(1.1994/(1+POWER(10,C53-7.688)))))</f>
        <v>1.0646161023879763</v>
      </c>
      <c r="D71" s="15">
        <f t="shared" si="146"/>
        <v>1.0578858796879296</v>
      </c>
      <c r="E71" s="15">
        <f t="shared" si="146"/>
        <v>1.0495359692965183</v>
      </c>
      <c r="F71" s="15">
        <f t="shared" si="146"/>
        <v>1.0392141363356224</v>
      </c>
      <c r="G71" s="15">
        <f t="shared" si="146"/>
        <v>1.0265118238505999</v>
      </c>
      <c r="H71" s="15">
        <f t="shared" si="146"/>
        <v>1.0109660820210755</v>
      </c>
      <c r="I71" s="18">
        <f t="shared" si="146"/>
        <v>0.99206842468746348</v>
      </c>
      <c r="J71" s="18">
        <f t="shared" si="146"/>
        <v>0.969283756017423</v>
      </c>
      <c r="K71" s="18">
        <f>$L$71*((0.0278/(1+POWER(10,7.688-K53))+(1.1994/(1+POWER(10,K53-7.688)))))</f>
        <v>0.94208264200037584</v>
      </c>
      <c r="L71" s="9">
        <v>0.91</v>
      </c>
      <c r="M71" s="18">
        <f>$L$71*((0.0278/(1+POWER(10,7.688-M53))+(1.1994/(1+POWER(10,M53-7.688)))))</f>
        <v>0.87264655570192085</v>
      </c>
      <c r="N71" s="18">
        <f t="shared" ref="N71:AF71" si="147">$L$71*((0.0278/(1+POWER(10,7.688-N53))+(1.1994/(1+POWER(10,N53-7.688)))))</f>
        <v>0.82989102726972108</v>
      </c>
      <c r="O71" s="18">
        <f t="shared" si="147"/>
        <v>0.78183370021904708</v>
      </c>
      <c r="P71" s="18">
        <f t="shared" si="147"/>
        <v>0.72892514156204913</v>
      </c>
      <c r="Q71" s="18">
        <f t="shared" si="147"/>
        <v>0.67198836282676544</v>
      </c>
      <c r="R71" s="18">
        <f t="shared" si="147"/>
        <v>0.61220009528051855</v>
      </c>
      <c r="S71" s="18">
        <f t="shared" si="147"/>
        <v>0.55101172379253072</v>
      </c>
      <c r="T71" s="18">
        <f t="shared" si="147"/>
        <v>0.49001682684879144</v>
      </c>
      <c r="U71" s="18">
        <f t="shared" si="147"/>
        <v>0.43078904656337669</v>
      </c>
      <c r="V71" s="18">
        <f t="shared" si="147"/>
        <v>0.37472419812179042</v>
      </c>
      <c r="W71" s="18">
        <f t="shared" si="147"/>
        <v>0.32291903902652219</v>
      </c>
      <c r="X71" s="18">
        <f t="shared" si="147"/>
        <v>0.27610671777575474</v>
      </c>
      <c r="Y71" s="18">
        <f t="shared" si="147"/>
        <v>0.23465169336505426</v>
      </c>
      <c r="Z71" s="18">
        <f t="shared" si="147"/>
        <v>0.19859227187591577</v>
      </c>
      <c r="AA71" s="18">
        <f t="shared" si="147"/>
        <v>0.16771143334247315</v>
      </c>
      <c r="AB71" s="18">
        <f t="shared" si="147"/>
        <v>0.14161662376097456</v>
      </c>
      <c r="AC71" s="18">
        <f t="shared" si="147"/>
        <v>0.11981401025364642</v>
      </c>
      <c r="AD71" s="18">
        <f t="shared" si="147"/>
        <v>0.1017690357255981</v>
      </c>
      <c r="AE71" s="26">
        <f t="shared" si="147"/>
        <v>8.695060197657227E-2</v>
      </c>
      <c r="AF71" s="26">
        <f t="shared" si="147"/>
        <v>7.4859860583756432E-2</v>
      </c>
    </row>
    <row r="72" spans="1:32" x14ac:dyDescent="0.2">
      <c r="A72" s="228">
        <v>28</v>
      </c>
      <c r="B72" s="15">
        <f>$L$72*((0.0278/(1+POWER(10,7.688-B53))+(1.1994/(1+POWER(10,B53-7.688)))))</f>
        <v>1.0112323758208375</v>
      </c>
      <c r="C72" s="15">
        <f t="shared" ref="C72:J72" si="148">$L$72*((0.0278/(1+POWER(10,7.688-C53))+(1.1994/(1+POWER(10,C53-7.688)))))</f>
        <v>1.0061207121468787</v>
      </c>
      <c r="D72" s="15">
        <f t="shared" si="148"/>
        <v>0.99976028190287847</v>
      </c>
      <c r="E72" s="18">
        <f t="shared" si="148"/>
        <v>0.99186915779670948</v>
      </c>
      <c r="F72" s="18">
        <f t="shared" si="148"/>
        <v>0.9821144585149838</v>
      </c>
      <c r="G72" s="18">
        <f t="shared" si="148"/>
        <v>0.97011007528738014</v>
      </c>
      <c r="H72" s="18">
        <f t="shared" si="148"/>
        <v>0.95541849509684051</v>
      </c>
      <c r="I72" s="18">
        <f t="shared" si="148"/>
        <v>0.93755917058375671</v>
      </c>
      <c r="J72" s="18">
        <f t="shared" si="148"/>
        <v>0.91602640678569636</v>
      </c>
      <c r="K72" s="18">
        <f>$L$72*((0.0278/(1+POWER(10,7.688-K53))+(1.1994/(1+POWER(10,K53-7.688)))))</f>
        <v>0.89031985947288261</v>
      </c>
      <c r="L72" s="18">
        <v>0.86</v>
      </c>
      <c r="M72" s="18">
        <f>$L$72*((0.0278/(1+POWER(10,7.688-M53))+(1.1994/(1+POWER(10,M53-7.688)))))</f>
        <v>0.82469894275126576</v>
      </c>
      <c r="N72" s="18">
        <f t="shared" ref="N72:AF72" si="149">$L$72*((0.0278/(1+POWER(10,7.688-N53))+(1.1994/(1+POWER(10,N53-7.688)))))</f>
        <v>0.7842926191779781</v>
      </c>
      <c r="O72" s="18">
        <f t="shared" si="149"/>
        <v>0.73887580460261593</v>
      </c>
      <c r="P72" s="18">
        <f t="shared" si="149"/>
        <v>0.68887430960809037</v>
      </c>
      <c r="Q72" s="18">
        <f t="shared" si="149"/>
        <v>0.63506592530881123</v>
      </c>
      <c r="R72" s="18">
        <f t="shared" si="149"/>
        <v>0.57856272740796255</v>
      </c>
      <c r="S72" s="18">
        <f t="shared" si="149"/>
        <v>0.52073635435338073</v>
      </c>
      <c r="T72" s="18">
        <f t="shared" si="149"/>
        <v>0.46309282537358309</v>
      </c>
      <c r="U72" s="18">
        <f t="shared" si="149"/>
        <v>0.40711931873022411</v>
      </c>
      <c r="V72" s="18">
        <f t="shared" si="149"/>
        <v>0.35413495646674698</v>
      </c>
      <c r="W72" s="18">
        <f t="shared" si="149"/>
        <v>0.30517623468440558</v>
      </c>
      <c r="X72" s="18">
        <f t="shared" si="149"/>
        <v>0.26093601899686714</v>
      </c>
      <c r="Y72" s="18">
        <f t="shared" si="149"/>
        <v>0.22175874318016114</v>
      </c>
      <c r="Z72" s="18">
        <f t="shared" si="149"/>
        <v>0.18768060858603028</v>
      </c>
      <c r="AA72" s="18">
        <f t="shared" si="149"/>
        <v>0.15849651942255705</v>
      </c>
      <c r="AB72" s="18">
        <f t="shared" si="149"/>
        <v>0.13383549058729463</v>
      </c>
      <c r="AC72" s="18">
        <f t="shared" si="149"/>
        <v>0.11323082287707244</v>
      </c>
      <c r="AD72" s="26">
        <f t="shared" si="149"/>
        <v>9.617733046594984E-2</v>
      </c>
      <c r="AE72" s="26">
        <f t="shared" si="149"/>
        <v>8.21730963734639E-2</v>
      </c>
      <c r="AF72" s="26">
        <f t="shared" si="149"/>
        <v>7.0746681430802774E-2</v>
      </c>
    </row>
    <row r="73" spans="1:32" x14ac:dyDescent="0.2">
      <c r="A73" s="228">
        <v>29</v>
      </c>
      <c r="B73" s="18">
        <f>$L$73*((0.0278/(1+POWER(10,7.688-B53))+(1.1994/(1+POWER(10,B53-7.688)))))</f>
        <v>0.96419831182917048</v>
      </c>
      <c r="C73" s="18">
        <f t="shared" ref="C73:J73" si="150">$L$73*((0.0278/(1+POWER(10,7.688-C53))+(1.1994/(1+POWER(10,C53-7.688)))))</f>
        <v>0.95932439995400054</v>
      </c>
      <c r="D73" s="18">
        <f t="shared" si="150"/>
        <v>0.95325980367483754</v>
      </c>
      <c r="E73" s="18">
        <f t="shared" si="150"/>
        <v>0.94573570859686251</v>
      </c>
      <c r="F73" s="18">
        <f t="shared" si="150"/>
        <v>0.93643471625847285</v>
      </c>
      <c r="G73" s="18">
        <f t="shared" si="150"/>
        <v>0.92498867643680427</v>
      </c>
      <c r="H73" s="18">
        <f t="shared" si="150"/>
        <v>0.91098042555745251</v>
      </c>
      <c r="I73" s="18">
        <f t="shared" si="150"/>
        <v>0.89395176730079118</v>
      </c>
      <c r="J73" s="18">
        <f t="shared" si="150"/>
        <v>0.87342052740031517</v>
      </c>
      <c r="K73" s="18">
        <f>$L$73*((0.0278/(1+POWER(10,7.688-K53))+(1.1994/(1+POWER(10,K53-7.688)))))</f>
        <v>0.8489096334508881</v>
      </c>
      <c r="L73" s="9">
        <v>0.82</v>
      </c>
      <c r="M73" s="18">
        <f>$L$73*((0.0278/(1+POWER(10,7.688-M53))+(1.1994/(1+POWER(10,M53-7.688)))))</f>
        <v>0.78634085239074181</v>
      </c>
      <c r="N73" s="18">
        <f t="shared" ref="N73:AF73" si="151">$L$73*((0.0278/(1+POWER(10,7.688-N53))+(1.1994/(1+POWER(10,N53-7.688)))))</f>
        <v>0.74781389270458376</v>
      </c>
      <c r="O73" s="18">
        <f t="shared" si="151"/>
        <v>0.70450948810947089</v>
      </c>
      <c r="P73" s="18">
        <f t="shared" si="151"/>
        <v>0.65683364404492339</v>
      </c>
      <c r="Q73" s="18">
        <f t="shared" si="151"/>
        <v>0.60552797529444791</v>
      </c>
      <c r="R73" s="18">
        <f t="shared" si="151"/>
        <v>0.55165283310991775</v>
      </c>
      <c r="S73" s="18">
        <f t="shared" si="151"/>
        <v>0.49651605880206062</v>
      </c>
      <c r="T73" s="18">
        <f t="shared" si="151"/>
        <v>0.44155362419341643</v>
      </c>
      <c r="U73" s="18">
        <f t="shared" si="151"/>
        <v>0.38818353646370207</v>
      </c>
      <c r="V73" s="18">
        <f t="shared" si="151"/>
        <v>0.33766356314271218</v>
      </c>
      <c r="W73" s="18">
        <f t="shared" si="151"/>
        <v>0.29098199121071228</v>
      </c>
      <c r="X73" s="18">
        <f t="shared" si="151"/>
        <v>0.24879945997375699</v>
      </c>
      <c r="Y73" s="18">
        <f t="shared" si="151"/>
        <v>0.21144438303224666</v>
      </c>
      <c r="Z73" s="18">
        <f t="shared" si="151"/>
        <v>0.17895127795412188</v>
      </c>
      <c r="AA73" s="18">
        <f t="shared" si="151"/>
        <v>0.15112458828662415</v>
      </c>
      <c r="AB73" s="18">
        <f t="shared" si="151"/>
        <v>0.12761058404835068</v>
      </c>
      <c r="AC73" s="18">
        <f t="shared" si="151"/>
        <v>0.10796427297581325</v>
      </c>
      <c r="AD73" s="26">
        <f t="shared" si="151"/>
        <v>9.170396625823124E-2</v>
      </c>
      <c r="AE73" s="26">
        <f t="shared" si="151"/>
        <v>7.8351091890977193E-2</v>
      </c>
      <c r="AF73" s="26">
        <f t="shared" si="151"/>
        <v>6.7456138108439853E-2</v>
      </c>
    </row>
    <row r="74" spans="1:32" x14ac:dyDescent="0.2">
      <c r="A74" s="228">
        <v>30</v>
      </c>
      <c r="B74" s="18">
        <f>$L$74*((0.0278/(1+POWER(10,7.688-B53))+(1.1994/(1+POWER(10,B53-7.688)))))</f>
        <v>0.90540573183958706</v>
      </c>
      <c r="C74" s="18">
        <f t="shared" ref="C74:J74" si="152">$L$74*((0.0278/(1+POWER(10,7.688-C53))+(1.1994/(1+POWER(10,C53-7.688)))))</f>
        <v>0.90082900971290303</v>
      </c>
      <c r="D74" s="18">
        <f t="shared" si="152"/>
        <v>0.89513420588978654</v>
      </c>
      <c r="E74" s="18">
        <f t="shared" si="152"/>
        <v>0.88806889709705383</v>
      </c>
      <c r="F74" s="18">
        <f t="shared" si="152"/>
        <v>0.87933503843783434</v>
      </c>
      <c r="G74" s="18">
        <f t="shared" si="152"/>
        <v>0.8685869278735846</v>
      </c>
      <c r="H74" s="18">
        <f t="shared" si="152"/>
        <v>0.85543283863321773</v>
      </c>
      <c r="I74" s="18">
        <f t="shared" si="152"/>
        <v>0.83944251319708452</v>
      </c>
      <c r="J74" s="18">
        <f t="shared" si="152"/>
        <v>0.82016317816858864</v>
      </c>
      <c r="K74" s="18">
        <f>$L$74*((0.0278/(1+POWER(10,7.688-K53))+(1.1994/(1+POWER(10,K53-7.688)))))</f>
        <v>0.79714685092339499</v>
      </c>
      <c r="L74" s="9">
        <v>0.77</v>
      </c>
      <c r="M74" s="18">
        <f>$L$74*((0.0278/(1+POWER(10,7.688-M53))+(1.1994/(1+POWER(10,M53-7.688)))))</f>
        <v>0.73839323944008683</v>
      </c>
      <c r="N74" s="18">
        <f t="shared" ref="N74:AF74" si="153">$L$74*((0.0278/(1+POWER(10,7.688-N53))+(1.1994/(1+POWER(10,N53-7.688)))))</f>
        <v>0.70221548461284089</v>
      </c>
      <c r="O74" s="18">
        <f t="shared" si="153"/>
        <v>0.66155159249303985</v>
      </c>
      <c r="P74" s="18">
        <f t="shared" si="153"/>
        <v>0.61678281209096464</v>
      </c>
      <c r="Q74" s="18">
        <f t="shared" si="153"/>
        <v>0.56860553777649381</v>
      </c>
      <c r="R74" s="18">
        <f t="shared" si="153"/>
        <v>0.51801546523736186</v>
      </c>
      <c r="S74" s="18">
        <f t="shared" si="153"/>
        <v>0.46624068936291063</v>
      </c>
      <c r="T74" s="18">
        <f t="shared" si="153"/>
        <v>0.41462962271820814</v>
      </c>
      <c r="U74" s="18">
        <f t="shared" si="153"/>
        <v>0.3645138086305495</v>
      </c>
      <c r="V74" s="18">
        <f t="shared" si="153"/>
        <v>0.31707432148766879</v>
      </c>
      <c r="W74" s="18">
        <f t="shared" si="153"/>
        <v>0.27323918686859566</v>
      </c>
      <c r="X74" s="18">
        <f t="shared" si="153"/>
        <v>0.23362876119486939</v>
      </c>
      <c r="Y74" s="18">
        <f t="shared" si="153"/>
        <v>0.1985514328473536</v>
      </c>
      <c r="Z74" s="18">
        <f t="shared" si="153"/>
        <v>0.16803961466423642</v>
      </c>
      <c r="AA74" s="18">
        <f t="shared" si="153"/>
        <v>0.14190967436670804</v>
      </c>
      <c r="AB74" s="18">
        <f t="shared" si="153"/>
        <v>0.11982945087467077</v>
      </c>
      <c r="AC74" s="18">
        <f t="shared" si="153"/>
        <v>0.10138108559923928</v>
      </c>
      <c r="AD74" s="26">
        <f t="shared" si="153"/>
        <v>8.6112260998583004E-2</v>
      </c>
      <c r="AE74" s="26">
        <f t="shared" si="153"/>
        <v>7.3573586287868836E-2</v>
      </c>
      <c r="AF74" s="26">
        <f t="shared" si="153"/>
        <v>6.3342958955486209E-2</v>
      </c>
    </row>
    <row r="76" spans="1:32" x14ac:dyDescent="0.2">
      <c r="A76" t="s">
        <v>587</v>
      </c>
    </row>
    <row r="77" spans="1:32" x14ac:dyDescent="0.2">
      <c r="A77" s="16"/>
      <c r="B77" s="446" t="s">
        <v>16</v>
      </c>
      <c r="C77" s="446"/>
      <c r="D77" s="446"/>
      <c r="E77" s="446"/>
      <c r="F77" s="446"/>
      <c r="G77" s="446"/>
      <c r="H77" s="446"/>
      <c r="I77" s="446"/>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row>
    <row r="78" spans="1:32" x14ac:dyDescent="0.2">
      <c r="A78" s="227" t="s">
        <v>620</v>
      </c>
      <c r="B78" s="82">
        <v>6</v>
      </c>
      <c r="C78" s="82">
        <v>6.1</v>
      </c>
      <c r="D78" s="82">
        <v>6.2</v>
      </c>
      <c r="E78" s="82">
        <v>6.3</v>
      </c>
      <c r="F78" s="82">
        <v>6.4</v>
      </c>
      <c r="G78" s="82">
        <v>6.5</v>
      </c>
      <c r="H78" s="82">
        <v>6.6</v>
      </c>
      <c r="I78" s="82">
        <v>6.7</v>
      </c>
      <c r="J78" s="82">
        <v>6.8</v>
      </c>
      <c r="K78" s="82">
        <v>6.9</v>
      </c>
      <c r="L78" s="82">
        <v>7</v>
      </c>
      <c r="M78" s="82">
        <v>7.1</v>
      </c>
      <c r="N78" s="82">
        <v>7.2</v>
      </c>
      <c r="O78" s="82">
        <v>7.3</v>
      </c>
      <c r="P78" s="82">
        <v>7.4</v>
      </c>
      <c r="Q78" s="82">
        <v>7.4999999999999902</v>
      </c>
      <c r="R78" s="82">
        <v>7.5999999999999899</v>
      </c>
      <c r="S78" s="82">
        <v>7.6999999999999904</v>
      </c>
      <c r="T78" s="82">
        <v>7.7999999999999901</v>
      </c>
      <c r="U78" s="82">
        <v>7.8999999999999897</v>
      </c>
      <c r="V78" s="82">
        <v>7.9999999999999902</v>
      </c>
      <c r="W78" s="82">
        <v>8.0999999999999908</v>
      </c>
      <c r="X78" s="82">
        <v>8.1999999999999904</v>
      </c>
      <c r="Y78" s="82">
        <v>8.2999999999999901</v>
      </c>
      <c r="Z78" s="82">
        <v>8.3999999999999897</v>
      </c>
      <c r="AA78" s="82">
        <v>8.4999999999999893</v>
      </c>
      <c r="AB78" s="82">
        <v>8.5999999999999908</v>
      </c>
      <c r="AC78" s="82">
        <v>8.6999999999999904</v>
      </c>
      <c r="AD78" s="82">
        <v>8.7999999999999901</v>
      </c>
      <c r="AE78" s="82">
        <v>8.8999999999999897</v>
      </c>
      <c r="AF78" s="82">
        <v>8.9999999999999893</v>
      </c>
    </row>
    <row r="79" spans="1:32" x14ac:dyDescent="0.2">
      <c r="A79" s="228">
        <v>10</v>
      </c>
      <c r="B79" s="15">
        <f>$L$79*((0.0278/(1+POWER(10,7.688-B78))+(1.1994/(1+POWER(10,B78-7.688)))))</f>
        <v>4.3506509192291842</v>
      </c>
      <c r="C79" s="15">
        <f t="shared" ref="C79:M79" si="154">$L$79*((0.0278/(1+POWER(10,7.688-C78))+(1.1994/(1+POWER(10,C78-7.688)))))</f>
        <v>4.3286588778412227</v>
      </c>
      <c r="D79" s="15">
        <f t="shared" si="154"/>
        <v>4.3012942360937796</v>
      </c>
      <c r="E79" s="15">
        <f t="shared" si="154"/>
        <v>4.2673440509858436</v>
      </c>
      <c r="F79" s="15">
        <f t="shared" si="154"/>
        <v>4.225376158727256</v>
      </c>
      <c r="G79" s="15">
        <f t="shared" si="154"/>
        <v>4.173729393678264</v>
      </c>
      <c r="H79" s="15">
        <f t="shared" si="154"/>
        <v>4.1105214323933836</v>
      </c>
      <c r="I79" s="15">
        <f t="shared" si="154"/>
        <v>4.0336848036743023</v>
      </c>
      <c r="J79" s="15">
        <f t="shared" si="154"/>
        <v>3.9410438431477637</v>
      </c>
      <c r="K79" s="15">
        <f t="shared" si="154"/>
        <v>3.8304459070344956</v>
      </c>
      <c r="L79" s="9">
        <v>3.7</v>
      </c>
      <c r="M79" s="15">
        <f t="shared" si="154"/>
        <v>3.5481233583484695</v>
      </c>
      <c r="N79" s="15">
        <f t="shared" ref="N79" si="155">$L$79*((0.0278/(1+POWER(10,7.688-N78))+(1.1994/(1+POWER(10,N78-7.688)))))</f>
        <v>3.374282198788976</v>
      </c>
      <c r="O79" s="15">
        <f t="shared" ref="O79" si="156">$L$79*((0.0278/(1+POWER(10,7.688-O78))+(1.1994/(1+POWER(10,O78-7.688)))))</f>
        <v>3.1788842756159057</v>
      </c>
      <c r="P79" s="15">
        <f t="shared" ref="P79" si="157">$L$79*((0.0278/(1+POWER(10,7.688-P78))+(1.1994/(1+POWER(10,P78-7.688)))))</f>
        <v>2.9637615645929469</v>
      </c>
      <c r="Q79" s="15">
        <f t="shared" ref="Q79" si="158">$L$79*((0.0278/(1+POWER(10,7.688-Q78))+(1.1994/(1+POWER(10,Q78-7.688)))))</f>
        <v>2.7322603763286066</v>
      </c>
      <c r="R79" s="15">
        <f t="shared" ref="R79" si="159">$L$79*((0.0278/(1+POWER(10,7.688-R78))+(1.1994/(1+POWER(10,R78-7.688)))))</f>
        <v>2.4891652225691412</v>
      </c>
      <c r="S79" s="15">
        <f t="shared" ref="S79" si="160">$L$79*((0.0278/(1+POWER(10,7.688-S78))+(1.1994/(1+POWER(10,S78-7.688)))))</f>
        <v>2.2403773384971033</v>
      </c>
      <c r="T79" s="15">
        <f t="shared" ref="T79" si="161">$L$79*((0.0278/(1+POWER(10,7.688-T78))+(1.1994/(1+POWER(10,T78-7.688)))))</f>
        <v>1.9923761091654157</v>
      </c>
      <c r="U79" s="15">
        <f t="shared" ref="U79" si="162">$L$79*((0.0278/(1+POWER(10,7.688-U78))+(1.1994/(1+POWER(10,U78-7.688)))))</f>
        <v>1.75155985965329</v>
      </c>
      <c r="V79" s="15">
        <f t="shared" ref="V79" si="163">$L$79*((0.0278/(1+POWER(10,7.688-V78))+(1.1994/(1+POWER(10,V78-7.688)))))</f>
        <v>1.5236038824732137</v>
      </c>
      <c r="W79" s="15">
        <f t="shared" ref="W79" si="164">$L$79*((0.0278/(1+POWER(10,7.688-W78))+(1.1994/(1+POWER(10,W78-7.688)))))</f>
        <v>1.3129675213166287</v>
      </c>
      <c r="X79" s="15">
        <f t="shared" ref="X79" si="165">$L$79*((0.0278/(1+POWER(10,7.688-X78))+(1.1994/(1+POWER(10,X78-7.688)))))</f>
        <v>1.1226317096376841</v>
      </c>
      <c r="Y79" s="18">
        <f t="shared" ref="Y79" si="166">$L$79*((0.0278/(1+POWER(10,7.688-Y78))+(1.1994/(1+POWER(10,Y78-7.688)))))</f>
        <v>0.95407831368208873</v>
      </c>
      <c r="Z79" s="18">
        <f t="shared" ref="Z79" si="167">$L$79*((0.0278/(1+POWER(10,7.688-Z78))+(1.1994/(1+POWER(10,Z78-7.688)))))</f>
        <v>0.80746308345152562</v>
      </c>
      <c r="AA79" s="18">
        <f t="shared" ref="AA79" si="168">$L$79*((0.0278/(1+POWER(10,7.688-AA78))+(1.1994/(1+POWER(10,AA78-7.688)))))</f>
        <v>0.68190363007379196</v>
      </c>
      <c r="AB79" s="18">
        <f t="shared" ref="AB79" si="169">$L$79*((0.0278/(1+POWER(10,7.688-AB78))+(1.1994/(1+POWER(10,AB78-7.688)))))</f>
        <v>0.57580385485231411</v>
      </c>
      <c r="AC79" s="18">
        <f t="shared" ref="AC79" si="170">$L$79*((0.0278/(1+POWER(10,7.688-AC78))+(1.1994/(1+POWER(10,AC78-7.688)))))</f>
        <v>0.48715586586647447</v>
      </c>
      <c r="AD79" s="18">
        <f t="shared" ref="AD79" si="171">$L$79*((0.0278/(1+POWER(10,7.688-AD78))+(1.1994/(1+POWER(10,AD78-7.688)))))</f>
        <v>0.41378618921397031</v>
      </c>
      <c r="AE79" s="18">
        <f t="shared" ref="AE79" si="172">$L$79*((0.0278/(1+POWER(10,7.688-AE78))+(1.1994/(1+POWER(10,AE78-7.688)))))</f>
        <v>0.35353541463001908</v>
      </c>
      <c r="AF79" s="18">
        <f t="shared" ref="AF79" si="173">$L$79*((0.0278/(1+POWER(10,7.688-AF78))+(1.1994/(1+POWER(10,AF78-7.688)))))</f>
        <v>0.30437525731857012</v>
      </c>
    </row>
    <row r="80" spans="1:32" x14ac:dyDescent="0.2">
      <c r="A80" s="228">
        <v>11</v>
      </c>
      <c r="B80" s="15">
        <f>$L$80*((0.0278/(1+POWER(10,7.688-B78))+(1.1994/(1+POWER(10,B78-7.688)))))</f>
        <v>4.2330657592500174</v>
      </c>
      <c r="C80" s="15">
        <f t="shared" ref="C80:K80" si="174">$L$80*((0.0278/(1+POWER(10,7.688-C78))+(1.1994/(1+POWER(10,C78-7.688)))))</f>
        <v>4.211668097359027</v>
      </c>
      <c r="D80" s="15">
        <f t="shared" si="174"/>
        <v>4.1850430405236771</v>
      </c>
      <c r="E80" s="15">
        <f t="shared" si="174"/>
        <v>4.1520104279862258</v>
      </c>
      <c r="F80" s="15">
        <f t="shared" si="174"/>
        <v>4.1111768030859785</v>
      </c>
      <c r="G80" s="15">
        <f t="shared" si="174"/>
        <v>4.060925896551824</v>
      </c>
      <c r="H80" s="15">
        <f t="shared" si="174"/>
        <v>3.9994262585449141</v>
      </c>
      <c r="I80" s="15">
        <f t="shared" si="174"/>
        <v>3.9246662954668885</v>
      </c>
      <c r="J80" s="15">
        <f t="shared" si="174"/>
        <v>3.8345291446843106</v>
      </c>
      <c r="K80" s="15">
        <f t="shared" si="174"/>
        <v>3.7269203419795089</v>
      </c>
      <c r="L80" s="9">
        <v>3.6</v>
      </c>
      <c r="M80" s="15">
        <f t="shared" ref="M80:AF80" si="175">$L$80*((0.0278/(1+POWER(10,7.688-M78))+(1.1994/(1+POWER(10,M78-7.688)))))</f>
        <v>3.4522281324471593</v>
      </c>
      <c r="N80" s="15">
        <f t="shared" si="175"/>
        <v>3.2830853826054898</v>
      </c>
      <c r="O80" s="15">
        <f t="shared" si="175"/>
        <v>3.0929684843830434</v>
      </c>
      <c r="P80" s="15">
        <f t="shared" si="175"/>
        <v>2.8836599006850294</v>
      </c>
      <c r="Q80" s="15">
        <f t="shared" si="175"/>
        <v>2.6584155012926982</v>
      </c>
      <c r="R80" s="15">
        <f t="shared" si="175"/>
        <v>2.4218904868240294</v>
      </c>
      <c r="S80" s="15">
        <f t="shared" si="175"/>
        <v>2.1798265996188029</v>
      </c>
      <c r="T80" s="15">
        <f t="shared" si="175"/>
        <v>1.938528106214999</v>
      </c>
      <c r="U80" s="15">
        <f t="shared" si="175"/>
        <v>1.7042204039869848</v>
      </c>
      <c r="V80" s="15">
        <f t="shared" si="175"/>
        <v>1.4824253991631269</v>
      </c>
      <c r="W80" s="15">
        <f t="shared" si="175"/>
        <v>1.2774819126323955</v>
      </c>
      <c r="X80" s="15">
        <f t="shared" si="175"/>
        <v>1.0922903120799088</v>
      </c>
      <c r="Y80" s="18">
        <f t="shared" si="175"/>
        <v>0.9282924133123025</v>
      </c>
      <c r="Z80" s="18">
        <f t="shared" si="175"/>
        <v>0.78563975687175469</v>
      </c>
      <c r="AA80" s="18">
        <f t="shared" si="175"/>
        <v>0.66347380223395969</v>
      </c>
      <c r="AB80" s="18">
        <f t="shared" si="175"/>
        <v>0.56024158850495431</v>
      </c>
      <c r="AC80" s="18">
        <f t="shared" si="175"/>
        <v>0.4739894911133265</v>
      </c>
      <c r="AD80" s="18">
        <f t="shared" si="175"/>
        <v>0.40260277869467381</v>
      </c>
      <c r="AE80" s="18">
        <f t="shared" si="175"/>
        <v>0.34398040342380237</v>
      </c>
      <c r="AF80" s="18">
        <f t="shared" si="175"/>
        <v>0.29614889901266278</v>
      </c>
    </row>
    <row r="81" spans="1:32" x14ac:dyDescent="0.2">
      <c r="A81" s="228">
        <v>12</v>
      </c>
      <c r="B81" s="15">
        <f>$L$81*((0.0278/(1+POWER(10,7.688-B78))+(1.1994/(1+POWER(10,B78-7.688)))))</f>
        <v>4.1154805992708496</v>
      </c>
      <c r="C81" s="15">
        <f t="shared" ref="C81:K81" si="176">$L$81*((0.0278/(1+POWER(10,7.688-C78))+(1.1994/(1+POWER(10,C78-7.688)))))</f>
        <v>4.0946773168768322</v>
      </c>
      <c r="D81" s="15">
        <f t="shared" si="176"/>
        <v>4.0687918449535756</v>
      </c>
      <c r="E81" s="15">
        <f t="shared" si="176"/>
        <v>4.036676804986608</v>
      </c>
      <c r="F81" s="15">
        <f t="shared" si="176"/>
        <v>3.9969774474447015</v>
      </c>
      <c r="G81" s="15">
        <f t="shared" si="176"/>
        <v>3.9481223994253845</v>
      </c>
      <c r="H81" s="15">
        <f t="shared" si="176"/>
        <v>3.8883310846964441</v>
      </c>
      <c r="I81" s="15">
        <f t="shared" si="176"/>
        <v>3.8156477872594747</v>
      </c>
      <c r="J81" s="15">
        <f t="shared" si="176"/>
        <v>3.7280144462208575</v>
      </c>
      <c r="K81" s="15">
        <f t="shared" si="176"/>
        <v>3.6233947769245223</v>
      </c>
      <c r="L81" s="9">
        <v>3.5</v>
      </c>
      <c r="M81" s="15">
        <f t="shared" ref="M81:AF81" si="177">$L$81*((0.0278/(1+POWER(10,7.688-M78))+(1.1994/(1+POWER(10,M78-7.688)))))</f>
        <v>3.3563329065458491</v>
      </c>
      <c r="N81" s="15">
        <f t="shared" si="177"/>
        <v>3.191888566422004</v>
      </c>
      <c r="O81" s="15">
        <f t="shared" si="177"/>
        <v>3.0070526931501811</v>
      </c>
      <c r="P81" s="15">
        <f t="shared" si="177"/>
        <v>2.8035582367771119</v>
      </c>
      <c r="Q81" s="15">
        <f t="shared" si="177"/>
        <v>2.5845706262567898</v>
      </c>
      <c r="R81" s="15">
        <f t="shared" si="177"/>
        <v>2.3546157510789172</v>
      </c>
      <c r="S81" s="15">
        <f t="shared" si="177"/>
        <v>2.1192758607405029</v>
      </c>
      <c r="T81" s="15">
        <f t="shared" si="177"/>
        <v>1.8846801032645824</v>
      </c>
      <c r="U81" s="15">
        <f t="shared" si="177"/>
        <v>1.6568809483206794</v>
      </c>
      <c r="V81" s="15">
        <f t="shared" si="177"/>
        <v>1.4412469158530399</v>
      </c>
      <c r="W81" s="15">
        <f t="shared" si="177"/>
        <v>1.2419963039481621</v>
      </c>
      <c r="X81" s="15">
        <f t="shared" si="177"/>
        <v>1.0619489145221337</v>
      </c>
      <c r="Y81" s="18">
        <f t="shared" si="177"/>
        <v>0.90250651294251627</v>
      </c>
      <c r="Z81" s="18">
        <f t="shared" si="177"/>
        <v>0.76381643029198365</v>
      </c>
      <c r="AA81" s="18">
        <f t="shared" si="177"/>
        <v>0.64504397439412742</v>
      </c>
      <c r="AB81" s="18">
        <f t="shared" si="177"/>
        <v>0.5446793221575944</v>
      </c>
      <c r="AC81" s="18">
        <f t="shared" si="177"/>
        <v>0.46082311636017853</v>
      </c>
      <c r="AD81" s="18">
        <f t="shared" si="177"/>
        <v>0.39141936817537726</v>
      </c>
      <c r="AE81" s="18">
        <f t="shared" si="177"/>
        <v>0.3344253922175856</v>
      </c>
      <c r="AF81" s="18">
        <f t="shared" si="177"/>
        <v>0.28792254070675549</v>
      </c>
    </row>
    <row r="82" spans="1:32" x14ac:dyDescent="0.2">
      <c r="A82" s="228">
        <v>13</v>
      </c>
      <c r="B82" s="15">
        <f>$L$82*((0.0278/(1+POWER(10,7.688-B78))+(1.1994/(1+POWER(10,B78-7.688)))))</f>
        <v>3.8803102793125155</v>
      </c>
      <c r="C82" s="15">
        <f t="shared" ref="C82:K82" si="178">$L$82*((0.0278/(1+POWER(10,7.688-C78))+(1.1994/(1+POWER(10,C78-7.688)))))</f>
        <v>3.8606957559124413</v>
      </c>
      <c r="D82" s="15">
        <f t="shared" si="178"/>
        <v>3.8362894538133707</v>
      </c>
      <c r="E82" s="15">
        <f t="shared" si="178"/>
        <v>3.8060095589873733</v>
      </c>
      <c r="F82" s="15">
        <f t="shared" si="178"/>
        <v>3.768578736162147</v>
      </c>
      <c r="G82" s="15">
        <f t="shared" si="178"/>
        <v>3.7225154051725053</v>
      </c>
      <c r="H82" s="15">
        <f t="shared" si="178"/>
        <v>3.666140736999504</v>
      </c>
      <c r="I82" s="15">
        <f t="shared" si="178"/>
        <v>3.5976107708446476</v>
      </c>
      <c r="J82" s="15">
        <f t="shared" si="178"/>
        <v>3.5149850492939514</v>
      </c>
      <c r="K82" s="15">
        <f t="shared" si="178"/>
        <v>3.4163436468145494</v>
      </c>
      <c r="L82" s="15">
        <v>3.3</v>
      </c>
      <c r="M82" s="15">
        <f t="shared" ref="M82:AF82" si="179">$L$82*((0.0278/(1+POWER(10,7.688-M78))+(1.1994/(1+POWER(10,M78-7.688)))))</f>
        <v>3.1645424547432293</v>
      </c>
      <c r="N82" s="15">
        <f t="shared" si="179"/>
        <v>3.0094949340550321</v>
      </c>
      <c r="O82" s="15">
        <f t="shared" si="179"/>
        <v>2.835221110684456</v>
      </c>
      <c r="P82" s="15">
        <f t="shared" si="179"/>
        <v>2.6433549089612769</v>
      </c>
      <c r="Q82" s="15">
        <f t="shared" si="179"/>
        <v>2.4368808761849734</v>
      </c>
      <c r="R82" s="15">
        <f t="shared" si="179"/>
        <v>2.2200662795886932</v>
      </c>
      <c r="S82" s="15">
        <f t="shared" si="179"/>
        <v>1.9981743829839025</v>
      </c>
      <c r="T82" s="15">
        <f t="shared" si="179"/>
        <v>1.776984097363749</v>
      </c>
      <c r="U82" s="15">
        <f t="shared" si="179"/>
        <v>1.5622020369880691</v>
      </c>
      <c r="V82" s="15">
        <f t="shared" si="179"/>
        <v>1.3588899492328661</v>
      </c>
      <c r="W82" s="15">
        <f t="shared" si="179"/>
        <v>1.1710250865796956</v>
      </c>
      <c r="X82" s="15">
        <f t="shared" si="179"/>
        <v>1.0012661194065831</v>
      </c>
      <c r="Y82" s="18">
        <f t="shared" si="179"/>
        <v>0.85093471220294392</v>
      </c>
      <c r="Z82" s="18">
        <f t="shared" si="179"/>
        <v>0.72016977713244179</v>
      </c>
      <c r="AA82" s="18">
        <f t="shared" si="179"/>
        <v>0.60818431871446299</v>
      </c>
      <c r="AB82" s="18">
        <f t="shared" si="179"/>
        <v>0.51355478946287469</v>
      </c>
      <c r="AC82" s="18">
        <f t="shared" si="179"/>
        <v>0.43449036685388259</v>
      </c>
      <c r="AD82" s="18">
        <f t="shared" si="179"/>
        <v>0.36905254713678426</v>
      </c>
      <c r="AE82" s="18">
        <f t="shared" si="179"/>
        <v>0.31531536980515212</v>
      </c>
      <c r="AF82" s="18">
        <f t="shared" si="179"/>
        <v>0.27146982409494086</v>
      </c>
    </row>
    <row r="83" spans="1:32" x14ac:dyDescent="0.2">
      <c r="A83" s="228">
        <v>14</v>
      </c>
      <c r="B83" s="15">
        <f>$L$83*((0.0278/(1+POWER(10,7.688-B78))+(1.1994/(1+POWER(10,B78-7.688)))))</f>
        <v>3.8803102793125155</v>
      </c>
      <c r="C83" s="15">
        <f t="shared" ref="C83:K83" si="180">$L$83*((0.0278/(1+POWER(10,7.688-C78))+(1.1994/(1+POWER(10,C78-7.688)))))</f>
        <v>3.8606957559124413</v>
      </c>
      <c r="D83" s="15">
        <f t="shared" si="180"/>
        <v>3.8362894538133707</v>
      </c>
      <c r="E83" s="15">
        <f t="shared" si="180"/>
        <v>3.8060095589873733</v>
      </c>
      <c r="F83" s="15">
        <f t="shared" si="180"/>
        <v>3.768578736162147</v>
      </c>
      <c r="G83" s="15">
        <f t="shared" si="180"/>
        <v>3.7225154051725053</v>
      </c>
      <c r="H83" s="15">
        <f t="shared" si="180"/>
        <v>3.666140736999504</v>
      </c>
      <c r="I83" s="15">
        <f t="shared" si="180"/>
        <v>3.5976107708446476</v>
      </c>
      <c r="J83" s="15">
        <f t="shared" si="180"/>
        <v>3.5149850492939514</v>
      </c>
      <c r="K83" s="15">
        <f t="shared" si="180"/>
        <v>3.4163436468145494</v>
      </c>
      <c r="L83" s="9">
        <v>3.3</v>
      </c>
      <c r="M83" s="15">
        <f t="shared" ref="M83:AF83" si="181">$L$83*((0.0278/(1+POWER(10,7.688-M78))+(1.1994/(1+POWER(10,M78-7.688)))))</f>
        <v>3.1645424547432293</v>
      </c>
      <c r="N83" s="15">
        <f t="shared" si="181"/>
        <v>3.0094949340550321</v>
      </c>
      <c r="O83" s="15">
        <f t="shared" si="181"/>
        <v>2.835221110684456</v>
      </c>
      <c r="P83" s="15">
        <f t="shared" si="181"/>
        <v>2.6433549089612769</v>
      </c>
      <c r="Q83" s="15">
        <f t="shared" si="181"/>
        <v>2.4368808761849734</v>
      </c>
      <c r="R83" s="15">
        <f t="shared" si="181"/>
        <v>2.2200662795886932</v>
      </c>
      <c r="S83" s="15">
        <f t="shared" si="181"/>
        <v>1.9981743829839025</v>
      </c>
      <c r="T83" s="15">
        <f t="shared" si="181"/>
        <v>1.776984097363749</v>
      </c>
      <c r="U83" s="15">
        <f t="shared" si="181"/>
        <v>1.5622020369880691</v>
      </c>
      <c r="V83" s="15">
        <f t="shared" si="181"/>
        <v>1.3588899492328661</v>
      </c>
      <c r="W83" s="15">
        <f t="shared" si="181"/>
        <v>1.1710250865796956</v>
      </c>
      <c r="X83" s="15">
        <f t="shared" si="181"/>
        <v>1.0012661194065831</v>
      </c>
      <c r="Y83" s="18">
        <f t="shared" si="181"/>
        <v>0.85093471220294392</v>
      </c>
      <c r="Z83" s="18">
        <f t="shared" si="181"/>
        <v>0.72016977713244179</v>
      </c>
      <c r="AA83" s="18">
        <f t="shared" si="181"/>
        <v>0.60818431871446299</v>
      </c>
      <c r="AB83" s="18">
        <f t="shared" si="181"/>
        <v>0.51355478946287469</v>
      </c>
      <c r="AC83" s="18">
        <f t="shared" si="181"/>
        <v>0.43449036685388259</v>
      </c>
      <c r="AD83" s="18">
        <f t="shared" si="181"/>
        <v>0.36905254713678426</v>
      </c>
      <c r="AE83" s="18">
        <f t="shared" si="181"/>
        <v>0.31531536980515212</v>
      </c>
      <c r="AF83" s="18">
        <f t="shared" si="181"/>
        <v>0.27146982409494086</v>
      </c>
    </row>
    <row r="84" spans="1:32" x14ac:dyDescent="0.2">
      <c r="A84" s="228">
        <v>15</v>
      </c>
      <c r="B84" s="15">
        <f>$L$84*((0.0278/(1+POWER(10,7.688-B78))+(1.1994/(1+POWER(10,B78-7.688)))))</f>
        <v>3.6451399593541813</v>
      </c>
      <c r="C84" s="15">
        <f t="shared" ref="C84:K84" si="182">$L$84*((0.0278/(1+POWER(10,7.688-C78))+(1.1994/(1+POWER(10,C78-7.688)))))</f>
        <v>3.6267141949480513</v>
      </c>
      <c r="D84" s="15">
        <f t="shared" si="182"/>
        <v>3.6037870626731667</v>
      </c>
      <c r="E84" s="15">
        <f t="shared" si="182"/>
        <v>3.575342312988139</v>
      </c>
      <c r="F84" s="15">
        <f t="shared" si="182"/>
        <v>3.5401800248795929</v>
      </c>
      <c r="G84" s="15">
        <f t="shared" si="182"/>
        <v>3.4969084109196262</v>
      </c>
      <c r="H84" s="15">
        <f t="shared" si="182"/>
        <v>3.4439503893025649</v>
      </c>
      <c r="I84" s="15">
        <f t="shared" si="182"/>
        <v>3.3795737544298206</v>
      </c>
      <c r="J84" s="15">
        <f t="shared" si="182"/>
        <v>3.3019556523670452</v>
      </c>
      <c r="K84" s="15">
        <f t="shared" si="182"/>
        <v>3.2092925167045774</v>
      </c>
      <c r="L84" s="9">
        <v>3.1</v>
      </c>
      <c r="M84" s="15">
        <f t="shared" ref="M84:AF84" si="183">$L$84*((0.0278/(1+POWER(10,7.688-M78))+(1.1994/(1+POWER(10,M78-7.688)))))</f>
        <v>2.9727520029406094</v>
      </c>
      <c r="N84" s="15">
        <f t="shared" si="183"/>
        <v>2.8271013016880606</v>
      </c>
      <c r="O84" s="15">
        <f t="shared" si="183"/>
        <v>2.6633895282187319</v>
      </c>
      <c r="P84" s="15">
        <f t="shared" si="183"/>
        <v>2.4831515811454423</v>
      </c>
      <c r="Q84" s="15">
        <f t="shared" si="183"/>
        <v>2.289191126113157</v>
      </c>
      <c r="R84" s="15">
        <f t="shared" si="183"/>
        <v>2.0855168080984696</v>
      </c>
      <c r="S84" s="15">
        <f t="shared" si="183"/>
        <v>1.8770729052273025</v>
      </c>
      <c r="T84" s="15">
        <f t="shared" si="183"/>
        <v>1.6692880914629158</v>
      </c>
      <c r="U84" s="15">
        <f t="shared" si="183"/>
        <v>1.4675231256554591</v>
      </c>
      <c r="V84" s="15">
        <f t="shared" si="183"/>
        <v>1.2765329826126925</v>
      </c>
      <c r="W84" s="15">
        <f t="shared" si="183"/>
        <v>1.1000538692112294</v>
      </c>
      <c r="X84" s="18">
        <f t="shared" si="183"/>
        <v>0.94058332429103264</v>
      </c>
      <c r="Y84" s="18">
        <f t="shared" si="183"/>
        <v>0.79936291146337157</v>
      </c>
      <c r="Z84" s="18">
        <f t="shared" si="183"/>
        <v>0.67652312397289982</v>
      </c>
      <c r="AA84" s="18">
        <f t="shared" si="183"/>
        <v>0.57132466303479867</v>
      </c>
      <c r="AB84" s="18">
        <f t="shared" si="183"/>
        <v>0.48243025676815504</v>
      </c>
      <c r="AC84" s="18">
        <f t="shared" si="183"/>
        <v>0.40815761734758671</v>
      </c>
      <c r="AD84" s="18">
        <f t="shared" si="183"/>
        <v>0.34668572609819132</v>
      </c>
      <c r="AE84" s="18">
        <f t="shared" si="183"/>
        <v>0.2962053473927187</v>
      </c>
      <c r="AF84" s="18">
        <f t="shared" si="183"/>
        <v>0.25501710748312628</v>
      </c>
    </row>
    <row r="85" spans="1:32" x14ac:dyDescent="0.2">
      <c r="A85" s="228">
        <v>16</v>
      </c>
      <c r="B85" s="15">
        <f>$L$85*((0.0278/(1+POWER(10,7.688-B78))+(1.1994/(1+POWER(10,B78-7.688)))))</f>
        <v>3.5275547993750145</v>
      </c>
      <c r="C85" s="15">
        <f t="shared" ref="C85:K85" si="184">$L$85*((0.0278/(1+POWER(10,7.688-C78))+(1.1994/(1+POWER(10,C78-7.688)))))</f>
        <v>3.509723414465856</v>
      </c>
      <c r="D85" s="15">
        <f t="shared" si="184"/>
        <v>3.4875358671030643</v>
      </c>
      <c r="E85" s="15">
        <f t="shared" si="184"/>
        <v>3.4600086899885216</v>
      </c>
      <c r="F85" s="15">
        <f t="shared" si="184"/>
        <v>3.4259806692383155</v>
      </c>
      <c r="G85" s="15">
        <f t="shared" si="184"/>
        <v>3.3841049137931867</v>
      </c>
      <c r="H85" s="15">
        <f t="shared" si="184"/>
        <v>3.3328552154540949</v>
      </c>
      <c r="I85" s="15">
        <f t="shared" si="184"/>
        <v>3.2705552462224068</v>
      </c>
      <c r="J85" s="15">
        <f t="shared" si="184"/>
        <v>3.1954409539035922</v>
      </c>
      <c r="K85" s="15">
        <f t="shared" si="184"/>
        <v>3.1057669516495907</v>
      </c>
      <c r="L85" s="9">
        <v>3</v>
      </c>
      <c r="M85" s="15">
        <f t="shared" ref="M85:AF85" si="185">$L$85*((0.0278/(1+POWER(10,7.688-M78))+(1.1994/(1+POWER(10,M78-7.688)))))</f>
        <v>2.8768567770392992</v>
      </c>
      <c r="N85" s="15">
        <f t="shared" si="185"/>
        <v>2.7359044855045749</v>
      </c>
      <c r="O85" s="15">
        <f t="shared" si="185"/>
        <v>2.5774737369858696</v>
      </c>
      <c r="P85" s="15">
        <f t="shared" si="185"/>
        <v>2.4030499172375244</v>
      </c>
      <c r="Q85" s="15">
        <f t="shared" si="185"/>
        <v>2.2153462510772486</v>
      </c>
      <c r="R85" s="15">
        <f t="shared" si="185"/>
        <v>2.0182420723533578</v>
      </c>
      <c r="S85" s="15">
        <f t="shared" si="185"/>
        <v>1.8165221663490025</v>
      </c>
      <c r="T85" s="15">
        <f t="shared" si="185"/>
        <v>1.6154400885124991</v>
      </c>
      <c r="U85" s="15">
        <f t="shared" si="185"/>
        <v>1.4201836699891539</v>
      </c>
      <c r="V85" s="15">
        <f t="shared" si="185"/>
        <v>1.2353544993026055</v>
      </c>
      <c r="W85" s="15">
        <f t="shared" si="185"/>
        <v>1.0645682605269962</v>
      </c>
      <c r="X85" s="18">
        <f t="shared" si="185"/>
        <v>0.91024192673325732</v>
      </c>
      <c r="Y85" s="18">
        <f t="shared" si="185"/>
        <v>0.77357701109358534</v>
      </c>
      <c r="Z85" s="18">
        <f t="shared" si="185"/>
        <v>0.65469979739312889</v>
      </c>
      <c r="AA85" s="18">
        <f t="shared" si="185"/>
        <v>0.55289483519496641</v>
      </c>
      <c r="AB85" s="18">
        <f t="shared" si="185"/>
        <v>0.46686799042079519</v>
      </c>
      <c r="AC85" s="18">
        <f t="shared" si="185"/>
        <v>0.39499124259443874</v>
      </c>
      <c r="AD85" s="18">
        <f t="shared" si="185"/>
        <v>0.33550231557889482</v>
      </c>
      <c r="AE85" s="18">
        <f t="shared" si="185"/>
        <v>0.28665033618650193</v>
      </c>
      <c r="AF85" s="18">
        <f t="shared" si="185"/>
        <v>0.24679074917721899</v>
      </c>
    </row>
    <row r="86" spans="1:32" x14ac:dyDescent="0.2">
      <c r="A86" s="228">
        <v>17</v>
      </c>
      <c r="B86" s="15">
        <f>$L$86*((0.0278/(1+POWER(10,7.688-B78))+(1.1994/(1+POWER(10,B78-7.688)))))</f>
        <v>3.4099696393958472</v>
      </c>
      <c r="C86" s="15">
        <f t="shared" ref="C86:K86" si="186">$L$86*((0.0278/(1+POWER(10,7.688-C78))+(1.1994/(1+POWER(10,C78-7.688)))))</f>
        <v>3.3927326339836608</v>
      </c>
      <c r="D86" s="15">
        <f t="shared" si="186"/>
        <v>3.3712846715329623</v>
      </c>
      <c r="E86" s="15">
        <f t="shared" si="186"/>
        <v>3.3446750669889038</v>
      </c>
      <c r="F86" s="15">
        <f t="shared" si="186"/>
        <v>3.3117813135970384</v>
      </c>
      <c r="G86" s="15">
        <f t="shared" si="186"/>
        <v>3.2713014166667471</v>
      </c>
      <c r="H86" s="15">
        <f t="shared" si="186"/>
        <v>3.2217600416056249</v>
      </c>
      <c r="I86" s="15">
        <f t="shared" si="186"/>
        <v>3.1615367380149935</v>
      </c>
      <c r="J86" s="15">
        <f t="shared" si="186"/>
        <v>3.0889262554401391</v>
      </c>
      <c r="K86" s="15">
        <f t="shared" si="186"/>
        <v>3.002241386594604</v>
      </c>
      <c r="L86" s="9">
        <v>2.9</v>
      </c>
      <c r="M86" s="15">
        <f t="shared" ref="M86:AF86" si="187">$L$86*((0.0278/(1+POWER(10,7.688-M78))+(1.1994/(1+POWER(10,M78-7.688)))))</f>
        <v>2.780961551137989</v>
      </c>
      <c r="N86" s="15">
        <f t="shared" si="187"/>
        <v>2.6447076693210891</v>
      </c>
      <c r="O86" s="15">
        <f t="shared" si="187"/>
        <v>2.4915579457530073</v>
      </c>
      <c r="P86" s="15">
        <f t="shared" si="187"/>
        <v>2.3229482533296069</v>
      </c>
      <c r="Q86" s="15">
        <f t="shared" si="187"/>
        <v>2.1415013760413402</v>
      </c>
      <c r="R86" s="15">
        <f t="shared" si="187"/>
        <v>1.9509673366082458</v>
      </c>
      <c r="S86" s="15">
        <f t="shared" si="187"/>
        <v>1.7559714274707023</v>
      </c>
      <c r="T86" s="15">
        <f t="shared" si="187"/>
        <v>1.5615920855620826</v>
      </c>
      <c r="U86" s="15">
        <f t="shared" si="187"/>
        <v>1.3728442143228488</v>
      </c>
      <c r="V86" s="15">
        <f t="shared" si="187"/>
        <v>1.1941760159925188</v>
      </c>
      <c r="W86" s="15">
        <f t="shared" si="187"/>
        <v>1.0290826518427629</v>
      </c>
      <c r="X86" s="18">
        <f t="shared" si="187"/>
        <v>0.87990052917548212</v>
      </c>
      <c r="Y86" s="18">
        <f t="shared" si="187"/>
        <v>0.74779111072379922</v>
      </c>
      <c r="Z86" s="18">
        <f t="shared" si="187"/>
        <v>0.63287647081335796</v>
      </c>
      <c r="AA86" s="18">
        <f t="shared" si="187"/>
        <v>0.53446500735513414</v>
      </c>
      <c r="AB86" s="18">
        <f t="shared" si="187"/>
        <v>0.45130572407343539</v>
      </c>
      <c r="AC86" s="18">
        <f t="shared" si="187"/>
        <v>0.38182486784129077</v>
      </c>
      <c r="AD86" s="18">
        <f t="shared" si="187"/>
        <v>0.32431890505959832</v>
      </c>
      <c r="AE86" s="18">
        <f t="shared" si="187"/>
        <v>0.27709532498028522</v>
      </c>
      <c r="AF86" s="18">
        <f t="shared" si="187"/>
        <v>0.23856439087131168</v>
      </c>
    </row>
    <row r="87" spans="1:32" x14ac:dyDescent="0.2">
      <c r="A87" s="228">
        <v>18</v>
      </c>
      <c r="B87" s="15">
        <f>$L$87*((0.0278/(1+POWER(10,7.688-B78))+(1.1994/(1+POWER(10,B78-7.688)))))</f>
        <v>3.2923844794166799</v>
      </c>
      <c r="C87" s="15">
        <f t="shared" ref="C87:K87" si="188">$L$87*((0.0278/(1+POWER(10,7.688-C78))+(1.1994/(1+POWER(10,C78-7.688)))))</f>
        <v>3.2757418535014655</v>
      </c>
      <c r="D87" s="15">
        <f t="shared" si="188"/>
        <v>3.2550334759628599</v>
      </c>
      <c r="E87" s="15">
        <f t="shared" si="188"/>
        <v>3.2293414439892865</v>
      </c>
      <c r="F87" s="15">
        <f t="shared" si="188"/>
        <v>3.1975819579557609</v>
      </c>
      <c r="G87" s="15">
        <f t="shared" si="188"/>
        <v>3.1584979195403076</v>
      </c>
      <c r="H87" s="15">
        <f t="shared" si="188"/>
        <v>3.1106648677571549</v>
      </c>
      <c r="I87" s="15">
        <f t="shared" si="188"/>
        <v>3.0525182298075797</v>
      </c>
      <c r="J87" s="15">
        <f t="shared" si="188"/>
        <v>2.982411556976686</v>
      </c>
      <c r="K87" s="15">
        <f t="shared" si="188"/>
        <v>2.8987158215396178</v>
      </c>
      <c r="L87" s="9">
        <v>2.8</v>
      </c>
      <c r="M87" s="15">
        <f t="shared" ref="M87:AF87" si="189">$L$87*((0.0278/(1+POWER(10,7.688-M78))+(1.1994/(1+POWER(10,M78-7.688)))))</f>
        <v>2.6850663252366793</v>
      </c>
      <c r="N87" s="15">
        <f t="shared" si="189"/>
        <v>2.553510853137603</v>
      </c>
      <c r="O87" s="15">
        <f t="shared" si="189"/>
        <v>2.4056421545201445</v>
      </c>
      <c r="P87" s="15">
        <f t="shared" si="189"/>
        <v>2.2428465894216894</v>
      </c>
      <c r="Q87" s="15">
        <f t="shared" si="189"/>
        <v>2.0676565010054317</v>
      </c>
      <c r="R87" s="15">
        <f t="shared" si="189"/>
        <v>1.8836926008631338</v>
      </c>
      <c r="S87" s="15">
        <f t="shared" si="189"/>
        <v>1.6954206885924021</v>
      </c>
      <c r="T87" s="15">
        <f t="shared" si="189"/>
        <v>1.5077440826116659</v>
      </c>
      <c r="U87" s="15">
        <f t="shared" si="189"/>
        <v>1.3255047586565436</v>
      </c>
      <c r="V87" s="15">
        <f t="shared" si="189"/>
        <v>1.1529975326824318</v>
      </c>
      <c r="W87" s="18">
        <f t="shared" si="189"/>
        <v>0.9935970431585297</v>
      </c>
      <c r="X87" s="18">
        <f t="shared" si="189"/>
        <v>0.8495591316177068</v>
      </c>
      <c r="Y87" s="18">
        <f t="shared" si="189"/>
        <v>0.72200521035401299</v>
      </c>
      <c r="Z87" s="18">
        <f t="shared" si="189"/>
        <v>0.61105314423358692</v>
      </c>
      <c r="AA87" s="18">
        <f t="shared" si="189"/>
        <v>0.51603517951530198</v>
      </c>
      <c r="AB87" s="18">
        <f t="shared" si="189"/>
        <v>0.43574345772607553</v>
      </c>
      <c r="AC87" s="18">
        <f t="shared" si="189"/>
        <v>0.3686584930881428</v>
      </c>
      <c r="AD87" s="18">
        <f t="shared" si="189"/>
        <v>0.31313549454030182</v>
      </c>
      <c r="AE87" s="18">
        <f t="shared" si="189"/>
        <v>0.26754031377406845</v>
      </c>
      <c r="AF87" s="18">
        <f t="shared" si="189"/>
        <v>0.23033803256540439</v>
      </c>
    </row>
    <row r="88" spans="1:32" x14ac:dyDescent="0.2">
      <c r="A88" s="228">
        <v>19</v>
      </c>
      <c r="B88" s="15">
        <f>$L$88*((0.0278/(1+POWER(10,7.688-B78))+(1.1994/(1+POWER(10,B78-7.688)))))</f>
        <v>3.174799319437513</v>
      </c>
      <c r="C88" s="15">
        <f t="shared" ref="C88:K88" si="190">$L$88*((0.0278/(1+POWER(10,7.688-C78))+(1.1994/(1+POWER(10,C78-7.688)))))</f>
        <v>3.1587510730192707</v>
      </c>
      <c r="D88" s="15">
        <f t="shared" si="190"/>
        <v>3.1387822803927583</v>
      </c>
      <c r="E88" s="15">
        <f t="shared" si="190"/>
        <v>3.1140078209896696</v>
      </c>
      <c r="F88" s="15">
        <f t="shared" si="190"/>
        <v>3.0833826023144844</v>
      </c>
      <c r="G88" s="15">
        <f t="shared" si="190"/>
        <v>3.045694422413868</v>
      </c>
      <c r="H88" s="15">
        <f t="shared" si="190"/>
        <v>2.9995696939086858</v>
      </c>
      <c r="I88" s="15">
        <f t="shared" si="190"/>
        <v>2.9434997216001664</v>
      </c>
      <c r="J88" s="15">
        <f t="shared" si="190"/>
        <v>2.875896858513233</v>
      </c>
      <c r="K88" s="15">
        <f t="shared" si="190"/>
        <v>2.795190256484632</v>
      </c>
      <c r="L88" s="9">
        <v>2.7</v>
      </c>
      <c r="M88" s="15">
        <f t="shared" ref="M88:AF88" si="191">$L$88*((0.0278/(1+POWER(10,7.688-M78))+(1.1994/(1+POWER(10,M78-7.688)))))</f>
        <v>2.5891710993353696</v>
      </c>
      <c r="N88" s="15">
        <f t="shared" si="191"/>
        <v>2.4623140369541177</v>
      </c>
      <c r="O88" s="15">
        <f t="shared" si="191"/>
        <v>2.3197263632872827</v>
      </c>
      <c r="P88" s="15">
        <f t="shared" si="191"/>
        <v>2.1627449255137723</v>
      </c>
      <c r="Q88" s="15">
        <f t="shared" si="191"/>
        <v>1.9938116259695238</v>
      </c>
      <c r="R88" s="15">
        <f t="shared" si="191"/>
        <v>1.8164178651180221</v>
      </c>
      <c r="S88" s="15">
        <f t="shared" si="191"/>
        <v>1.6348699497141024</v>
      </c>
      <c r="T88" s="15">
        <f t="shared" si="191"/>
        <v>1.4538960796612495</v>
      </c>
      <c r="U88" s="15">
        <f t="shared" si="191"/>
        <v>1.2781653029902387</v>
      </c>
      <c r="V88" s="15">
        <f t="shared" si="191"/>
        <v>1.1118190493723452</v>
      </c>
      <c r="W88" s="18">
        <f t="shared" si="191"/>
        <v>0.95811143447429659</v>
      </c>
      <c r="X88" s="18">
        <f t="shared" si="191"/>
        <v>0.8192177340599317</v>
      </c>
      <c r="Y88" s="18">
        <f t="shared" si="191"/>
        <v>0.69621930998422688</v>
      </c>
      <c r="Z88" s="18">
        <f t="shared" si="191"/>
        <v>0.58922981765381599</v>
      </c>
      <c r="AA88" s="18">
        <f t="shared" si="191"/>
        <v>0.49760535167546982</v>
      </c>
      <c r="AB88" s="18">
        <f t="shared" si="191"/>
        <v>0.42018119137871573</v>
      </c>
      <c r="AC88" s="18">
        <f t="shared" si="191"/>
        <v>0.35549211833499489</v>
      </c>
      <c r="AD88" s="18">
        <f t="shared" si="191"/>
        <v>0.30195208402100537</v>
      </c>
      <c r="AE88" s="18">
        <f t="shared" si="191"/>
        <v>0.25798530256785179</v>
      </c>
      <c r="AF88" s="18">
        <f t="shared" si="191"/>
        <v>0.2221116742594971</v>
      </c>
    </row>
    <row r="89" spans="1:32" x14ac:dyDescent="0.2">
      <c r="A89" s="228">
        <v>20</v>
      </c>
      <c r="B89" s="15">
        <f>$L$89*((0.0278/(1+POWER(10,7.688-B78))+(1.1994/(1+POWER(10,B78-7.688)))))</f>
        <v>3.0572141594583457</v>
      </c>
      <c r="C89" s="15">
        <f t="shared" ref="C89:K89" si="192">$L$89*((0.0278/(1+POWER(10,7.688-C78))+(1.1994/(1+POWER(10,C78-7.688)))))</f>
        <v>3.0417602925370755</v>
      </c>
      <c r="D89" s="15">
        <f t="shared" si="192"/>
        <v>3.0225310848226559</v>
      </c>
      <c r="E89" s="15">
        <f t="shared" si="192"/>
        <v>2.9986741979900522</v>
      </c>
      <c r="F89" s="15">
        <f t="shared" si="192"/>
        <v>2.9691832466732069</v>
      </c>
      <c r="G89" s="15">
        <f t="shared" si="192"/>
        <v>2.9328909252874285</v>
      </c>
      <c r="H89" s="15">
        <f t="shared" si="192"/>
        <v>2.8884745200602158</v>
      </c>
      <c r="I89" s="15">
        <f t="shared" si="192"/>
        <v>2.8344812133927531</v>
      </c>
      <c r="J89" s="15">
        <f t="shared" si="192"/>
        <v>2.7693821600497799</v>
      </c>
      <c r="K89" s="15">
        <f t="shared" si="192"/>
        <v>2.6916646914296454</v>
      </c>
      <c r="L89" s="9">
        <v>2.6</v>
      </c>
      <c r="M89" s="15">
        <f t="shared" ref="M89:AF89" si="193">$L$89*((0.0278/(1+POWER(10,7.688-M78))+(1.1994/(1+POWER(10,M78-7.688)))))</f>
        <v>2.4932758734340594</v>
      </c>
      <c r="N89" s="15">
        <f t="shared" si="193"/>
        <v>2.3711172207706315</v>
      </c>
      <c r="O89" s="15">
        <f t="shared" si="193"/>
        <v>2.2338105720544204</v>
      </c>
      <c r="P89" s="15">
        <f t="shared" si="193"/>
        <v>2.0826432616058548</v>
      </c>
      <c r="Q89" s="15">
        <f t="shared" si="193"/>
        <v>1.9199667509336156</v>
      </c>
      <c r="R89" s="15">
        <f t="shared" si="193"/>
        <v>1.7491431293729101</v>
      </c>
      <c r="S89" s="15">
        <f t="shared" si="193"/>
        <v>1.5743192108358022</v>
      </c>
      <c r="T89" s="15">
        <f t="shared" si="193"/>
        <v>1.4000480767108328</v>
      </c>
      <c r="U89" s="15">
        <f t="shared" si="193"/>
        <v>1.2308258473239335</v>
      </c>
      <c r="V89" s="437">
        <f t="shared" si="193"/>
        <v>1.0706405660622582</v>
      </c>
      <c r="W89" s="18">
        <f t="shared" si="193"/>
        <v>0.92262582579006336</v>
      </c>
      <c r="X89" s="18">
        <f t="shared" si="193"/>
        <v>0.78887633650215638</v>
      </c>
      <c r="Y89" s="18">
        <f t="shared" si="193"/>
        <v>0.67043340961444076</v>
      </c>
      <c r="Z89" s="18">
        <f t="shared" si="193"/>
        <v>0.56740649107404506</v>
      </c>
      <c r="AA89" s="18">
        <f t="shared" si="193"/>
        <v>0.47917552383563755</v>
      </c>
      <c r="AB89" s="18">
        <f t="shared" si="193"/>
        <v>0.40461892503135588</v>
      </c>
      <c r="AC89" s="18">
        <f t="shared" si="193"/>
        <v>0.34232574358184692</v>
      </c>
      <c r="AD89" s="18">
        <f t="shared" si="193"/>
        <v>0.29076867350170887</v>
      </c>
      <c r="AE89" s="18">
        <f t="shared" si="193"/>
        <v>0.24843029136163505</v>
      </c>
      <c r="AF89" s="18">
        <f t="shared" si="193"/>
        <v>0.21388531595358981</v>
      </c>
    </row>
    <row r="90" spans="1:32" x14ac:dyDescent="0.2">
      <c r="A90" s="228">
        <v>21</v>
      </c>
      <c r="B90" s="15">
        <f>$L$90*((0.0278/(1+POWER(10,7.688-B78))+(1.1994/(1+POWER(10,B78-7.688)))))</f>
        <v>2.9396289994791784</v>
      </c>
      <c r="C90" s="15">
        <f t="shared" ref="C90:K90" si="194">$L$90*((0.0278/(1+POWER(10,7.688-C78))+(1.1994/(1+POWER(10,C78-7.688)))))</f>
        <v>2.9247695120548798</v>
      </c>
      <c r="D90" s="15">
        <f t="shared" si="194"/>
        <v>2.9062798892525539</v>
      </c>
      <c r="E90" s="15">
        <f t="shared" si="194"/>
        <v>2.8833405749904344</v>
      </c>
      <c r="F90" s="15">
        <f t="shared" si="194"/>
        <v>2.8549838910319298</v>
      </c>
      <c r="G90" s="15">
        <f t="shared" si="194"/>
        <v>2.8200874281609889</v>
      </c>
      <c r="H90" s="15">
        <f t="shared" si="194"/>
        <v>2.7773793462117458</v>
      </c>
      <c r="I90" s="15">
        <f t="shared" si="194"/>
        <v>2.7254627051853393</v>
      </c>
      <c r="J90" s="15">
        <f t="shared" si="194"/>
        <v>2.6628674615863268</v>
      </c>
      <c r="K90" s="15">
        <f t="shared" si="194"/>
        <v>2.5881391263746591</v>
      </c>
      <c r="L90" s="9">
        <v>2.5</v>
      </c>
      <c r="M90" s="15">
        <f t="shared" ref="M90:AF90" si="195">$L$90*((0.0278/(1+POWER(10,7.688-M78))+(1.1994/(1+POWER(10,M78-7.688)))))</f>
        <v>2.3973806475327493</v>
      </c>
      <c r="N90" s="15">
        <f t="shared" si="195"/>
        <v>2.2799204045871457</v>
      </c>
      <c r="O90" s="15">
        <f t="shared" si="195"/>
        <v>2.147894780821558</v>
      </c>
      <c r="P90" s="15">
        <f t="shared" si="195"/>
        <v>2.0025415976979373</v>
      </c>
      <c r="Q90" s="15">
        <f t="shared" si="195"/>
        <v>1.8461218758977072</v>
      </c>
      <c r="R90" s="15">
        <f t="shared" si="195"/>
        <v>1.6818683936277981</v>
      </c>
      <c r="S90" s="15">
        <f t="shared" si="195"/>
        <v>1.513768471957502</v>
      </c>
      <c r="T90" s="15">
        <f t="shared" si="195"/>
        <v>1.3462000737604161</v>
      </c>
      <c r="U90" s="15">
        <f t="shared" si="195"/>
        <v>1.1834863916576284</v>
      </c>
      <c r="V90" s="15">
        <f t="shared" si="195"/>
        <v>1.0294620827521714</v>
      </c>
      <c r="W90" s="18">
        <f t="shared" si="195"/>
        <v>0.88714021710583013</v>
      </c>
      <c r="X90" s="18">
        <f t="shared" si="195"/>
        <v>0.75853493894438118</v>
      </c>
      <c r="Y90" s="18">
        <f t="shared" si="195"/>
        <v>0.64464750924465453</v>
      </c>
      <c r="Z90" s="18">
        <f t="shared" si="195"/>
        <v>0.54558316449427413</v>
      </c>
      <c r="AA90" s="18">
        <f t="shared" si="195"/>
        <v>0.46074569599580534</v>
      </c>
      <c r="AB90" s="18">
        <f t="shared" si="195"/>
        <v>0.38905665868399603</v>
      </c>
      <c r="AC90" s="18">
        <f t="shared" si="195"/>
        <v>0.32915936882869895</v>
      </c>
      <c r="AD90" s="18">
        <f t="shared" si="195"/>
        <v>0.27958526298241237</v>
      </c>
      <c r="AE90" s="18">
        <f t="shared" si="195"/>
        <v>0.23887528015541831</v>
      </c>
      <c r="AF90" s="18">
        <f t="shared" si="195"/>
        <v>0.20565895764768249</v>
      </c>
    </row>
    <row r="91" spans="1:32" x14ac:dyDescent="0.2">
      <c r="A91" s="228">
        <v>22</v>
      </c>
      <c r="B91" s="15">
        <f>$L$91*((0.0278/(1+POWER(10,7.688-B78))+(1.1994/(1+POWER(10,B78-7.688)))))</f>
        <v>2.8220438395000111</v>
      </c>
      <c r="C91" s="15">
        <f t="shared" ref="C91:K91" si="196">$L$91*((0.0278/(1+POWER(10,7.688-C78))+(1.1994/(1+POWER(10,C78-7.688)))))</f>
        <v>2.8077787315726845</v>
      </c>
      <c r="D91" s="15">
        <f t="shared" si="196"/>
        <v>2.7900286936824514</v>
      </c>
      <c r="E91" s="15">
        <f t="shared" si="196"/>
        <v>2.768006951990817</v>
      </c>
      <c r="F91" s="15">
        <f t="shared" si="196"/>
        <v>2.7407845353906524</v>
      </c>
      <c r="G91" s="15">
        <f t="shared" si="196"/>
        <v>2.7072839310345493</v>
      </c>
      <c r="H91" s="15">
        <f t="shared" si="196"/>
        <v>2.6662841723632758</v>
      </c>
      <c r="I91" s="15">
        <f t="shared" si="196"/>
        <v>2.6164441969779255</v>
      </c>
      <c r="J91" s="15">
        <f t="shared" si="196"/>
        <v>2.5563527631228737</v>
      </c>
      <c r="K91" s="15">
        <f t="shared" si="196"/>
        <v>2.4846135613196725</v>
      </c>
      <c r="L91" s="9">
        <v>2.4</v>
      </c>
      <c r="M91" s="15">
        <f t="shared" ref="M91:AF91" si="197">$L$91*((0.0278/(1+POWER(10,7.688-M78))+(1.1994/(1+POWER(10,M78-7.688)))))</f>
        <v>2.3014854216314395</v>
      </c>
      <c r="N91" s="15">
        <f t="shared" si="197"/>
        <v>2.18872358840366</v>
      </c>
      <c r="O91" s="15">
        <f t="shared" si="197"/>
        <v>2.0619789895886953</v>
      </c>
      <c r="P91" s="15">
        <f t="shared" si="197"/>
        <v>1.9224399337900195</v>
      </c>
      <c r="Q91" s="15">
        <f t="shared" si="197"/>
        <v>1.7722770008617987</v>
      </c>
      <c r="R91" s="15">
        <f t="shared" si="197"/>
        <v>1.6145936578826861</v>
      </c>
      <c r="S91" s="15">
        <f t="shared" si="197"/>
        <v>1.453217733079202</v>
      </c>
      <c r="T91" s="15">
        <f t="shared" si="197"/>
        <v>1.2923520708099994</v>
      </c>
      <c r="U91" s="15">
        <f t="shared" si="197"/>
        <v>1.136146935991323</v>
      </c>
      <c r="V91" s="18">
        <f t="shared" si="197"/>
        <v>0.98828359944208444</v>
      </c>
      <c r="W91" s="18">
        <f t="shared" si="197"/>
        <v>0.8516546084215969</v>
      </c>
      <c r="X91" s="18">
        <f t="shared" si="197"/>
        <v>0.72819354138660586</v>
      </c>
      <c r="Y91" s="18">
        <f t="shared" si="197"/>
        <v>0.6188616088748683</v>
      </c>
      <c r="Z91" s="18">
        <f t="shared" si="197"/>
        <v>0.52375983791450309</v>
      </c>
      <c r="AA91" s="18">
        <f t="shared" si="197"/>
        <v>0.44231586815597312</v>
      </c>
      <c r="AB91" s="18">
        <f t="shared" si="197"/>
        <v>0.37349439233663617</v>
      </c>
      <c r="AC91" s="18">
        <f t="shared" si="197"/>
        <v>0.31599299407555098</v>
      </c>
      <c r="AD91" s="18">
        <f t="shared" si="197"/>
        <v>0.26840185246311582</v>
      </c>
      <c r="AE91" s="18">
        <f t="shared" si="197"/>
        <v>0.22932026894920154</v>
      </c>
      <c r="AF91" s="18">
        <f t="shared" si="197"/>
        <v>0.19743259934177518</v>
      </c>
    </row>
    <row r="92" spans="1:32" x14ac:dyDescent="0.2">
      <c r="A92" s="228">
        <v>23</v>
      </c>
      <c r="B92" s="15">
        <f>$L$92*((0.0278/(1+POWER(10,7.688-B78))+(1.1994/(1+POWER(10,B78-7.688)))))</f>
        <v>2.7044586795208438</v>
      </c>
      <c r="C92" s="15">
        <f t="shared" ref="C92:K92" si="198">$L$92*((0.0278/(1+POWER(10,7.688-C78))+(1.1994/(1+POWER(10,C78-7.688)))))</f>
        <v>2.6907879510904893</v>
      </c>
      <c r="D92" s="15">
        <f t="shared" si="198"/>
        <v>2.6737774981123494</v>
      </c>
      <c r="E92" s="15">
        <f t="shared" si="198"/>
        <v>2.6526733289911997</v>
      </c>
      <c r="F92" s="15">
        <f t="shared" si="198"/>
        <v>2.6265851797493753</v>
      </c>
      <c r="G92" s="15">
        <f t="shared" si="198"/>
        <v>2.5944804339081098</v>
      </c>
      <c r="H92" s="15">
        <f t="shared" si="198"/>
        <v>2.5551889985148057</v>
      </c>
      <c r="I92" s="15">
        <f t="shared" si="198"/>
        <v>2.5074256887705118</v>
      </c>
      <c r="J92" s="15">
        <f t="shared" si="198"/>
        <v>2.4498380646594207</v>
      </c>
      <c r="K92" s="15">
        <f t="shared" si="198"/>
        <v>2.3810879962646858</v>
      </c>
      <c r="L92" s="15">
        <v>2.2999999999999998</v>
      </c>
      <c r="M92" s="15">
        <f t="shared" ref="M92:AF92" si="199">$L$92*((0.0278/(1+POWER(10,7.688-M78))+(1.1994/(1+POWER(10,M78-7.688)))))</f>
        <v>2.2055901957301294</v>
      </c>
      <c r="N92" s="15">
        <f t="shared" si="199"/>
        <v>2.0975267722201738</v>
      </c>
      <c r="O92" s="15">
        <f t="shared" si="199"/>
        <v>1.976063198355833</v>
      </c>
      <c r="P92" s="15">
        <f t="shared" si="199"/>
        <v>1.842338269882102</v>
      </c>
      <c r="Q92" s="15">
        <f t="shared" si="199"/>
        <v>1.6984321258258905</v>
      </c>
      <c r="R92" s="15">
        <f t="shared" si="199"/>
        <v>1.547318922137574</v>
      </c>
      <c r="S92" s="15">
        <f t="shared" si="199"/>
        <v>1.3926669942009018</v>
      </c>
      <c r="T92" s="15">
        <f t="shared" si="199"/>
        <v>1.2385040678595827</v>
      </c>
      <c r="U92" s="15">
        <f t="shared" si="199"/>
        <v>1.0888074803250178</v>
      </c>
      <c r="V92" s="18">
        <f t="shared" si="199"/>
        <v>0.94710511613199755</v>
      </c>
      <c r="W92" s="18">
        <f t="shared" si="199"/>
        <v>0.81616899973736368</v>
      </c>
      <c r="X92" s="18">
        <f t="shared" si="199"/>
        <v>0.69785214382883065</v>
      </c>
      <c r="Y92" s="18">
        <f t="shared" si="199"/>
        <v>0.59307570850508207</v>
      </c>
      <c r="Z92" s="18">
        <f t="shared" si="199"/>
        <v>0.50193651133473216</v>
      </c>
      <c r="AA92" s="18">
        <f t="shared" si="199"/>
        <v>0.42388604031614086</v>
      </c>
      <c r="AB92" s="18">
        <f t="shared" si="199"/>
        <v>0.35793212598927632</v>
      </c>
      <c r="AC92" s="18">
        <f t="shared" si="199"/>
        <v>0.30282661932240301</v>
      </c>
      <c r="AD92" s="18">
        <f t="shared" si="199"/>
        <v>0.25721844194381932</v>
      </c>
      <c r="AE92" s="18">
        <f t="shared" si="199"/>
        <v>0.2197652577429848</v>
      </c>
      <c r="AF92" s="18">
        <f t="shared" si="199"/>
        <v>0.18920624103586789</v>
      </c>
    </row>
    <row r="93" spans="1:32" x14ac:dyDescent="0.2">
      <c r="A93" s="228">
        <v>24</v>
      </c>
      <c r="B93" s="15">
        <f>$L$93*((0.0278/(1+POWER(10,7.688-B78))+(1.1994/(1+POWER(10,B78-7.688)))))</f>
        <v>2.5868735195416774</v>
      </c>
      <c r="C93" s="15">
        <f t="shared" ref="C93:K93" si="200">$L$93*((0.0278/(1+POWER(10,7.688-C78))+(1.1994/(1+POWER(10,C78-7.688)))))</f>
        <v>2.5737971706082945</v>
      </c>
      <c r="D93" s="15">
        <f t="shared" si="200"/>
        <v>2.5575263025422474</v>
      </c>
      <c r="E93" s="15">
        <f t="shared" si="200"/>
        <v>2.5373397059915828</v>
      </c>
      <c r="F93" s="15">
        <f t="shared" si="200"/>
        <v>2.5123858241080983</v>
      </c>
      <c r="G93" s="15">
        <f t="shared" si="200"/>
        <v>2.4816769367816702</v>
      </c>
      <c r="H93" s="15">
        <f t="shared" si="200"/>
        <v>2.4440938246663366</v>
      </c>
      <c r="I93" s="15">
        <f t="shared" si="200"/>
        <v>2.3984071805630989</v>
      </c>
      <c r="J93" s="15">
        <f t="shared" si="200"/>
        <v>2.3433233661959676</v>
      </c>
      <c r="K93" s="15">
        <f t="shared" si="200"/>
        <v>2.2775624312097</v>
      </c>
      <c r="L93" s="9">
        <v>2.2000000000000002</v>
      </c>
      <c r="M93" s="15">
        <f t="shared" ref="M93:AF93" si="201">$L$93*((0.0278/(1+POWER(10,7.688-M78))+(1.1994/(1+POWER(10,M78-7.688)))))</f>
        <v>2.1096949698288197</v>
      </c>
      <c r="N93" s="15">
        <f t="shared" si="201"/>
        <v>2.0063299560366885</v>
      </c>
      <c r="O93" s="15">
        <f t="shared" si="201"/>
        <v>1.8901474071229711</v>
      </c>
      <c r="P93" s="15">
        <f t="shared" si="201"/>
        <v>1.7622366059741847</v>
      </c>
      <c r="Q93" s="15">
        <f t="shared" si="201"/>
        <v>1.6245872507899823</v>
      </c>
      <c r="R93" s="15">
        <f t="shared" si="201"/>
        <v>1.4800441863924625</v>
      </c>
      <c r="S93" s="15">
        <f t="shared" si="201"/>
        <v>1.3321162553226018</v>
      </c>
      <c r="T93" s="15">
        <f t="shared" si="201"/>
        <v>1.1846560649091662</v>
      </c>
      <c r="U93" s="15">
        <f t="shared" si="201"/>
        <v>1.0414680246587129</v>
      </c>
      <c r="V93" s="18">
        <f t="shared" si="201"/>
        <v>0.90592663282191088</v>
      </c>
      <c r="W93" s="18">
        <f t="shared" si="201"/>
        <v>0.78068339105313056</v>
      </c>
      <c r="X93" s="18">
        <f t="shared" si="201"/>
        <v>0.66751074627105544</v>
      </c>
      <c r="Y93" s="18">
        <f t="shared" si="201"/>
        <v>0.56728980813529606</v>
      </c>
      <c r="Z93" s="18">
        <f t="shared" si="201"/>
        <v>0.48011318475496123</v>
      </c>
      <c r="AA93" s="18">
        <f t="shared" si="201"/>
        <v>0.40545621247630875</v>
      </c>
      <c r="AB93" s="18">
        <f t="shared" si="201"/>
        <v>0.34236985964191652</v>
      </c>
      <c r="AC93" s="18">
        <f t="shared" si="201"/>
        <v>0.2896602445692551</v>
      </c>
      <c r="AD93" s="18">
        <f t="shared" si="201"/>
        <v>0.24603503142452288</v>
      </c>
      <c r="AE93" s="18">
        <f t="shared" si="201"/>
        <v>0.21021024653676812</v>
      </c>
      <c r="AF93" s="18">
        <f t="shared" si="201"/>
        <v>0.1809798827299606</v>
      </c>
    </row>
    <row r="94" spans="1:32" x14ac:dyDescent="0.2">
      <c r="A94" s="228">
        <v>25</v>
      </c>
      <c r="B94" s="15">
        <f>$L$94*((0.0278/(1+POWER(10,7.688-B78))+(1.1994/(1+POWER(10,B78-7.688)))))</f>
        <v>2.4692883595625101</v>
      </c>
      <c r="C94" s="15">
        <f t="shared" ref="C94:K94" si="202">$L$94*((0.0278/(1+POWER(10,7.688-C78))+(1.1994/(1+POWER(10,C78-7.688)))))</f>
        <v>2.4568063901260992</v>
      </c>
      <c r="D94" s="15">
        <f t="shared" si="202"/>
        <v>2.4412751069721454</v>
      </c>
      <c r="E94" s="15">
        <f t="shared" si="202"/>
        <v>2.422006082991965</v>
      </c>
      <c r="F94" s="15">
        <f t="shared" si="202"/>
        <v>2.3981864684668213</v>
      </c>
      <c r="G94" s="15">
        <f t="shared" si="202"/>
        <v>2.3688734396552307</v>
      </c>
      <c r="H94" s="15">
        <f t="shared" si="202"/>
        <v>2.3329986508178666</v>
      </c>
      <c r="I94" s="15">
        <f t="shared" si="202"/>
        <v>2.2893886723556851</v>
      </c>
      <c r="J94" s="15">
        <f t="shared" si="202"/>
        <v>2.2368086677325145</v>
      </c>
      <c r="K94" s="15">
        <f t="shared" si="202"/>
        <v>2.1740368661547138</v>
      </c>
      <c r="L94" s="9">
        <v>2.1</v>
      </c>
      <c r="M94" s="15">
        <f t="shared" ref="M94:AF94" si="203">$L$94*((0.0278/(1+POWER(10,7.688-M78))+(1.1994/(1+POWER(10,M78-7.688)))))</f>
        <v>2.0137997439275095</v>
      </c>
      <c r="N94" s="15">
        <f t="shared" si="203"/>
        <v>1.9151331398532025</v>
      </c>
      <c r="O94" s="15">
        <f t="shared" si="203"/>
        <v>1.8042316158901086</v>
      </c>
      <c r="P94" s="15">
        <f t="shared" si="203"/>
        <v>1.6821349420662672</v>
      </c>
      <c r="Q94" s="15">
        <f t="shared" si="203"/>
        <v>1.5507423757540741</v>
      </c>
      <c r="R94" s="15">
        <f t="shared" si="203"/>
        <v>1.4127694506473505</v>
      </c>
      <c r="S94" s="15">
        <f t="shared" si="203"/>
        <v>1.2715655164443018</v>
      </c>
      <c r="T94" s="15">
        <f t="shared" si="203"/>
        <v>1.1308080619587495</v>
      </c>
      <c r="U94" s="18">
        <f t="shared" si="203"/>
        <v>0.99412856899240776</v>
      </c>
      <c r="V94" s="18">
        <f t="shared" si="203"/>
        <v>0.86474814951182399</v>
      </c>
      <c r="W94" s="18">
        <f t="shared" si="203"/>
        <v>0.74519778236889733</v>
      </c>
      <c r="X94" s="18">
        <f t="shared" si="203"/>
        <v>0.63716934871328024</v>
      </c>
      <c r="Y94" s="18">
        <f t="shared" si="203"/>
        <v>0.54150390776550983</v>
      </c>
      <c r="Z94" s="18">
        <f t="shared" si="203"/>
        <v>0.45828985817519025</v>
      </c>
      <c r="AA94" s="18">
        <f t="shared" si="203"/>
        <v>0.38702638463647648</v>
      </c>
      <c r="AB94" s="18">
        <f t="shared" si="203"/>
        <v>0.32680759329455666</v>
      </c>
      <c r="AC94" s="18">
        <f t="shared" si="203"/>
        <v>0.27649386981610713</v>
      </c>
      <c r="AD94" s="18">
        <f t="shared" si="203"/>
        <v>0.23485162090522638</v>
      </c>
      <c r="AE94" s="18">
        <f t="shared" si="203"/>
        <v>0.20065523533055138</v>
      </c>
      <c r="AF94" s="18">
        <f t="shared" si="203"/>
        <v>0.17275352442405331</v>
      </c>
    </row>
    <row r="95" spans="1:32" x14ac:dyDescent="0.2">
      <c r="A95" s="228">
        <v>26</v>
      </c>
      <c r="B95" s="15">
        <f>$L$95*((0.0278/(1+POWER(10,7.688-B78))+(1.1994/(1+POWER(10,B78-7.688)))))</f>
        <v>2.3517031995833428</v>
      </c>
      <c r="C95" s="15">
        <f t="shared" ref="C95:K95" si="204">$L$95*((0.0278/(1+POWER(10,7.688-C78))+(1.1994/(1+POWER(10,C78-7.688)))))</f>
        <v>2.339815609643904</v>
      </c>
      <c r="D95" s="15">
        <f t="shared" si="204"/>
        <v>2.325023911402043</v>
      </c>
      <c r="E95" s="15">
        <f t="shared" si="204"/>
        <v>2.3066724599923476</v>
      </c>
      <c r="F95" s="15">
        <f t="shared" si="204"/>
        <v>2.2839871128255438</v>
      </c>
      <c r="G95" s="15">
        <f t="shared" si="204"/>
        <v>2.2560699425287911</v>
      </c>
      <c r="H95" s="15">
        <f t="shared" si="204"/>
        <v>2.2219034769693966</v>
      </c>
      <c r="I95" s="15">
        <f t="shared" si="204"/>
        <v>2.1803701641482713</v>
      </c>
      <c r="J95" s="15">
        <f t="shared" si="204"/>
        <v>2.1302939692690614</v>
      </c>
      <c r="K95" s="15">
        <f t="shared" si="204"/>
        <v>2.0705113010997271</v>
      </c>
      <c r="L95" s="9">
        <v>2</v>
      </c>
      <c r="M95" s="15">
        <f t="shared" ref="M95:AF95" si="205">$L$95*((0.0278/(1+POWER(10,7.688-M78))+(1.1994/(1+POWER(10,M78-7.688)))))</f>
        <v>1.9179045180261995</v>
      </c>
      <c r="N95" s="15">
        <f t="shared" si="205"/>
        <v>1.8239363236697166</v>
      </c>
      <c r="O95" s="15">
        <f t="shared" si="205"/>
        <v>1.7183158246572463</v>
      </c>
      <c r="P95" s="15">
        <f t="shared" si="205"/>
        <v>1.6020332781583497</v>
      </c>
      <c r="Q95" s="15">
        <f t="shared" si="205"/>
        <v>1.4768975007181657</v>
      </c>
      <c r="R95" s="15">
        <f t="shared" si="205"/>
        <v>1.3454947149022385</v>
      </c>
      <c r="S95" s="15">
        <f t="shared" si="205"/>
        <v>1.2110147775660016</v>
      </c>
      <c r="T95" s="15">
        <f t="shared" si="205"/>
        <v>1.0769600590083328</v>
      </c>
      <c r="U95" s="18">
        <f t="shared" si="205"/>
        <v>0.9467891133261026</v>
      </c>
      <c r="V95" s="18">
        <f t="shared" si="205"/>
        <v>0.82356966620173711</v>
      </c>
      <c r="W95" s="18">
        <f t="shared" si="205"/>
        <v>0.7097121736846641</v>
      </c>
      <c r="X95" s="18">
        <f t="shared" si="205"/>
        <v>0.60682795115550492</v>
      </c>
      <c r="Y95" s="18">
        <f t="shared" si="205"/>
        <v>0.5157180073957236</v>
      </c>
      <c r="Z95" s="18">
        <f t="shared" si="205"/>
        <v>0.43646653159541926</v>
      </c>
      <c r="AA95" s="18">
        <f t="shared" si="205"/>
        <v>0.36859655679664427</v>
      </c>
      <c r="AB95" s="18">
        <f t="shared" si="205"/>
        <v>0.31124532694719681</v>
      </c>
      <c r="AC95" s="18">
        <f t="shared" si="205"/>
        <v>0.26332749506295916</v>
      </c>
      <c r="AD95" s="18">
        <f t="shared" si="205"/>
        <v>0.22366821038592988</v>
      </c>
      <c r="AE95" s="18">
        <f t="shared" si="205"/>
        <v>0.19110022412433464</v>
      </c>
      <c r="AF95" s="18">
        <f t="shared" si="205"/>
        <v>0.164527166118146</v>
      </c>
    </row>
    <row r="96" spans="1:32" x14ac:dyDescent="0.2">
      <c r="A96" s="228">
        <v>27</v>
      </c>
      <c r="B96" s="15">
        <f>$L$96*((0.0278/(1+POWER(10,7.688-B78))+(1.1994/(1+POWER(10,B78-7.688)))))</f>
        <v>2.2341180396041755</v>
      </c>
      <c r="C96" s="15">
        <f t="shared" ref="C96:K96" si="206">$L$96*((0.0278/(1+POWER(10,7.688-C78))+(1.1994/(1+POWER(10,C78-7.688)))))</f>
        <v>2.2228248291617088</v>
      </c>
      <c r="D96" s="15">
        <f t="shared" si="206"/>
        <v>2.2087727158319406</v>
      </c>
      <c r="E96" s="15">
        <f t="shared" si="206"/>
        <v>2.1913388369927302</v>
      </c>
      <c r="F96" s="15">
        <f t="shared" si="206"/>
        <v>2.1697877571842663</v>
      </c>
      <c r="G96" s="15">
        <f t="shared" si="206"/>
        <v>2.1432664454023516</v>
      </c>
      <c r="H96" s="15">
        <f t="shared" si="206"/>
        <v>2.1108083031209266</v>
      </c>
      <c r="I96" s="15">
        <f t="shared" si="206"/>
        <v>2.0713516559408576</v>
      </c>
      <c r="J96" s="15">
        <f t="shared" si="206"/>
        <v>2.0237792708056084</v>
      </c>
      <c r="K96" s="15">
        <f t="shared" si="206"/>
        <v>1.9669857360447407</v>
      </c>
      <c r="L96" s="9">
        <v>1.9</v>
      </c>
      <c r="M96" s="15">
        <f t="shared" ref="M96:AF96" si="207">$L$96*((0.0278/(1+POWER(10,7.688-M78))+(1.1994/(1+POWER(10,M78-7.688)))))</f>
        <v>1.8220092921248894</v>
      </c>
      <c r="N96" s="15">
        <f t="shared" si="207"/>
        <v>1.7327395074862306</v>
      </c>
      <c r="O96" s="15">
        <f t="shared" si="207"/>
        <v>1.632400033424384</v>
      </c>
      <c r="P96" s="15">
        <f t="shared" si="207"/>
        <v>1.5219316142504322</v>
      </c>
      <c r="Q96" s="15">
        <f t="shared" si="207"/>
        <v>1.4030526256822573</v>
      </c>
      <c r="R96" s="15">
        <f t="shared" si="207"/>
        <v>1.2782199791571265</v>
      </c>
      <c r="S96" s="15">
        <f t="shared" si="207"/>
        <v>1.1504640386877014</v>
      </c>
      <c r="T96" s="15">
        <f t="shared" si="207"/>
        <v>1.0231120560579161</v>
      </c>
      <c r="U96" s="18">
        <f t="shared" si="207"/>
        <v>0.89944965765979745</v>
      </c>
      <c r="V96" s="18">
        <f t="shared" si="207"/>
        <v>0.78239118289165022</v>
      </c>
      <c r="W96" s="18">
        <f t="shared" si="207"/>
        <v>0.67422656500043088</v>
      </c>
      <c r="X96" s="18">
        <f t="shared" si="207"/>
        <v>0.5764865535977296</v>
      </c>
      <c r="Y96" s="18">
        <f t="shared" si="207"/>
        <v>0.48993210702593737</v>
      </c>
      <c r="Z96" s="18">
        <f t="shared" si="207"/>
        <v>0.41464320501564828</v>
      </c>
      <c r="AA96" s="18">
        <f t="shared" si="207"/>
        <v>0.35016672895681206</v>
      </c>
      <c r="AB96" s="18">
        <f t="shared" si="207"/>
        <v>0.29568306059983696</v>
      </c>
      <c r="AC96" s="18">
        <f t="shared" si="207"/>
        <v>0.25016112030981119</v>
      </c>
      <c r="AD96" s="18">
        <f t="shared" si="207"/>
        <v>0.21248479986663338</v>
      </c>
      <c r="AE96" s="18">
        <f t="shared" si="207"/>
        <v>0.1815452129181179</v>
      </c>
      <c r="AF96" s="18">
        <f t="shared" si="207"/>
        <v>0.15630080781223868</v>
      </c>
    </row>
    <row r="97" spans="1:32" x14ac:dyDescent="0.2">
      <c r="A97" s="228">
        <v>28</v>
      </c>
      <c r="B97" s="15">
        <f>$L$97*((0.0278/(1+POWER(10,7.688-B78))+(1.1994/(1+POWER(10,B78-7.688)))))</f>
        <v>2.2341180396041755</v>
      </c>
      <c r="C97" s="15">
        <f t="shared" ref="C97:K97" si="208">$L$97*((0.0278/(1+POWER(10,7.688-C78))+(1.1994/(1+POWER(10,C78-7.688)))))</f>
        <v>2.2228248291617088</v>
      </c>
      <c r="D97" s="15">
        <f t="shared" si="208"/>
        <v>2.2087727158319406</v>
      </c>
      <c r="E97" s="15">
        <f t="shared" si="208"/>
        <v>2.1913388369927302</v>
      </c>
      <c r="F97" s="15">
        <f t="shared" si="208"/>
        <v>2.1697877571842663</v>
      </c>
      <c r="G97" s="15">
        <f t="shared" si="208"/>
        <v>2.1432664454023516</v>
      </c>
      <c r="H97" s="15">
        <f t="shared" si="208"/>
        <v>2.1108083031209266</v>
      </c>
      <c r="I97" s="15">
        <f t="shared" si="208"/>
        <v>2.0713516559408576</v>
      </c>
      <c r="J97" s="15">
        <f t="shared" si="208"/>
        <v>2.0237792708056084</v>
      </c>
      <c r="K97" s="15">
        <f t="shared" si="208"/>
        <v>1.9669857360447407</v>
      </c>
      <c r="L97" s="9">
        <v>1.9</v>
      </c>
      <c r="M97" s="15">
        <f t="shared" ref="M97:AF97" si="209">$L$97*((0.0278/(1+POWER(10,7.688-M78))+(1.1994/(1+POWER(10,M78-7.688)))))</f>
        <v>1.8220092921248894</v>
      </c>
      <c r="N97" s="15">
        <f t="shared" si="209"/>
        <v>1.7327395074862306</v>
      </c>
      <c r="O97" s="15">
        <f t="shared" si="209"/>
        <v>1.632400033424384</v>
      </c>
      <c r="P97" s="15">
        <f t="shared" si="209"/>
        <v>1.5219316142504322</v>
      </c>
      <c r="Q97" s="15">
        <f t="shared" si="209"/>
        <v>1.4030526256822573</v>
      </c>
      <c r="R97" s="15">
        <f t="shared" si="209"/>
        <v>1.2782199791571265</v>
      </c>
      <c r="S97" s="15">
        <f t="shared" si="209"/>
        <v>1.1504640386877014</v>
      </c>
      <c r="T97" s="15">
        <f t="shared" si="209"/>
        <v>1.0231120560579161</v>
      </c>
      <c r="U97" s="18">
        <f t="shared" si="209"/>
        <v>0.89944965765979745</v>
      </c>
      <c r="V97" s="18">
        <f t="shared" si="209"/>
        <v>0.78239118289165022</v>
      </c>
      <c r="W97" s="18">
        <f t="shared" si="209"/>
        <v>0.67422656500043088</v>
      </c>
      <c r="X97" s="18">
        <f t="shared" si="209"/>
        <v>0.5764865535977296</v>
      </c>
      <c r="Y97" s="18">
        <f t="shared" si="209"/>
        <v>0.48993210702593737</v>
      </c>
      <c r="Z97" s="18">
        <f t="shared" si="209"/>
        <v>0.41464320501564828</v>
      </c>
      <c r="AA97" s="18">
        <f t="shared" si="209"/>
        <v>0.35016672895681206</v>
      </c>
      <c r="AB97" s="18">
        <f t="shared" si="209"/>
        <v>0.29568306059983696</v>
      </c>
      <c r="AC97" s="18">
        <f t="shared" si="209"/>
        <v>0.25016112030981119</v>
      </c>
      <c r="AD97" s="18">
        <f t="shared" si="209"/>
        <v>0.21248479986663338</v>
      </c>
      <c r="AE97" s="18">
        <f t="shared" si="209"/>
        <v>0.1815452129181179</v>
      </c>
      <c r="AF97" s="18">
        <f t="shared" si="209"/>
        <v>0.15630080781223868</v>
      </c>
    </row>
    <row r="98" spans="1:32" x14ac:dyDescent="0.2">
      <c r="A98" s="228">
        <v>29</v>
      </c>
      <c r="B98" s="15">
        <f>$L$98*((0.0278/(1+POWER(10,7.688-B78))+(1.1994/(1+POWER(10,B78-7.688)))))</f>
        <v>2.1165328796250087</v>
      </c>
      <c r="C98" s="15">
        <f t="shared" ref="C98:K98" si="210">$L$98*((0.0278/(1+POWER(10,7.688-C78))+(1.1994/(1+POWER(10,C78-7.688)))))</f>
        <v>2.1058340486795135</v>
      </c>
      <c r="D98" s="15">
        <f t="shared" si="210"/>
        <v>2.0925215202618386</v>
      </c>
      <c r="E98" s="15">
        <f t="shared" si="210"/>
        <v>2.0760052139931129</v>
      </c>
      <c r="F98" s="15">
        <f t="shared" si="210"/>
        <v>2.0555884015429893</v>
      </c>
      <c r="G98" s="15">
        <f t="shared" si="210"/>
        <v>2.030462948275912</v>
      </c>
      <c r="H98" s="15">
        <f t="shared" si="210"/>
        <v>1.999713129272457</v>
      </c>
      <c r="I98" s="15">
        <f t="shared" si="210"/>
        <v>1.9623331477334442</v>
      </c>
      <c r="J98" s="15">
        <f t="shared" si="210"/>
        <v>1.9172645723421553</v>
      </c>
      <c r="K98" s="15">
        <f t="shared" si="210"/>
        <v>1.8634601709897545</v>
      </c>
      <c r="L98" s="9">
        <v>1.8</v>
      </c>
      <c r="M98" s="15">
        <f t="shared" ref="M98:AF98" si="211">$L$98*((0.0278/(1+POWER(10,7.688-M78))+(1.1994/(1+POWER(10,M78-7.688)))))</f>
        <v>1.7261140662235797</v>
      </c>
      <c r="N98" s="15">
        <f t="shared" si="211"/>
        <v>1.6415426913027449</v>
      </c>
      <c r="O98" s="15">
        <f t="shared" si="211"/>
        <v>1.5464842421915217</v>
      </c>
      <c r="P98" s="15">
        <f t="shared" si="211"/>
        <v>1.4418299503425147</v>
      </c>
      <c r="Q98" s="15">
        <f t="shared" si="211"/>
        <v>1.3292077506463491</v>
      </c>
      <c r="R98" s="15">
        <f t="shared" si="211"/>
        <v>1.2109452434120147</v>
      </c>
      <c r="S98" s="15">
        <f t="shared" si="211"/>
        <v>1.0899132998094014</v>
      </c>
      <c r="T98" s="18">
        <f t="shared" si="211"/>
        <v>0.96926405310749952</v>
      </c>
      <c r="U98" s="18">
        <f t="shared" si="211"/>
        <v>0.85211020199349241</v>
      </c>
      <c r="V98" s="18">
        <f t="shared" si="211"/>
        <v>0.74121269958156344</v>
      </c>
      <c r="W98" s="18">
        <f t="shared" si="211"/>
        <v>0.63874095631619776</v>
      </c>
      <c r="X98" s="18">
        <f t="shared" si="211"/>
        <v>0.54614515603995439</v>
      </c>
      <c r="Y98" s="18">
        <f t="shared" si="211"/>
        <v>0.46414620665615125</v>
      </c>
      <c r="Z98" s="18">
        <f t="shared" si="211"/>
        <v>0.39281987843587735</v>
      </c>
      <c r="AA98" s="18">
        <f t="shared" si="211"/>
        <v>0.33173690111697984</v>
      </c>
      <c r="AB98" s="18">
        <f t="shared" si="211"/>
        <v>0.28012079425247716</v>
      </c>
      <c r="AC98" s="18">
        <f t="shared" si="211"/>
        <v>0.23699474555666325</v>
      </c>
      <c r="AD98" s="18">
        <f t="shared" si="211"/>
        <v>0.20130138934733691</v>
      </c>
      <c r="AE98" s="18">
        <f t="shared" si="211"/>
        <v>0.17199020171190119</v>
      </c>
      <c r="AF98" s="18">
        <f t="shared" si="211"/>
        <v>0.14807444950633139</v>
      </c>
    </row>
    <row r="99" spans="1:32" x14ac:dyDescent="0.2">
      <c r="A99" s="228">
        <v>30</v>
      </c>
      <c r="B99" s="15">
        <f>$L$99*((0.0278/(1+POWER(10,7.688-B78))+(1.1994/(1+POWER(10,B78-7.688)))))</f>
        <v>1.9989477196458414</v>
      </c>
      <c r="C99" s="15">
        <f t="shared" ref="C99:K99" si="212">$L$99*((0.0278/(1+POWER(10,7.688-C78))+(1.1994/(1+POWER(10,C78-7.688)))))</f>
        <v>1.9888432681973183</v>
      </c>
      <c r="D99" s="15">
        <f t="shared" si="212"/>
        <v>1.9762703246917366</v>
      </c>
      <c r="E99" s="15">
        <f t="shared" si="212"/>
        <v>1.9606715909934953</v>
      </c>
      <c r="F99" s="15">
        <f t="shared" si="212"/>
        <v>1.9413890459017122</v>
      </c>
      <c r="G99" s="15">
        <f t="shared" si="212"/>
        <v>1.9176594511494724</v>
      </c>
      <c r="H99" s="15">
        <f t="shared" si="212"/>
        <v>1.888617955423987</v>
      </c>
      <c r="I99" s="15">
        <f t="shared" si="212"/>
        <v>1.8533146395260305</v>
      </c>
      <c r="J99" s="15">
        <f t="shared" si="212"/>
        <v>1.8107498738787022</v>
      </c>
      <c r="K99" s="15">
        <f t="shared" si="212"/>
        <v>1.759934605934768</v>
      </c>
      <c r="L99" s="9">
        <v>1.7</v>
      </c>
      <c r="M99" s="15">
        <f t="shared" ref="M99:AF99" si="213">$L$99*((0.0278/(1+POWER(10,7.688-M78))+(1.1994/(1+POWER(10,M78-7.688)))))</f>
        <v>1.6302188403222695</v>
      </c>
      <c r="N99" s="15">
        <f t="shared" si="213"/>
        <v>1.5503458751192591</v>
      </c>
      <c r="O99" s="15">
        <f t="shared" si="213"/>
        <v>1.4605684509586594</v>
      </c>
      <c r="P99" s="15">
        <f t="shared" si="213"/>
        <v>1.3617282864345972</v>
      </c>
      <c r="Q99" s="15">
        <f t="shared" si="213"/>
        <v>1.2553628756104409</v>
      </c>
      <c r="R99" s="15">
        <f t="shared" si="213"/>
        <v>1.1436705076669027</v>
      </c>
      <c r="S99" s="15">
        <f t="shared" si="213"/>
        <v>1.0293625609311015</v>
      </c>
      <c r="T99" s="18">
        <f t="shared" si="213"/>
        <v>0.91541605015708283</v>
      </c>
      <c r="U99" s="18">
        <f t="shared" si="213"/>
        <v>0.80477074632718715</v>
      </c>
      <c r="V99" s="18">
        <f t="shared" si="213"/>
        <v>0.70003421627147655</v>
      </c>
      <c r="W99" s="18">
        <f t="shared" si="213"/>
        <v>0.60325534763196442</v>
      </c>
      <c r="X99" s="18">
        <f t="shared" si="213"/>
        <v>0.51580375848217919</v>
      </c>
      <c r="Y99" s="18">
        <f t="shared" si="213"/>
        <v>0.43836030628636502</v>
      </c>
      <c r="Z99" s="18">
        <f t="shared" si="213"/>
        <v>0.37099655185610636</v>
      </c>
      <c r="AA99" s="18">
        <f t="shared" si="213"/>
        <v>0.31330707327714763</v>
      </c>
      <c r="AB99" s="18">
        <f t="shared" si="213"/>
        <v>0.2645585279051173</v>
      </c>
      <c r="AC99" s="18">
        <f t="shared" si="213"/>
        <v>0.22382837080351528</v>
      </c>
      <c r="AD99" s="18">
        <f t="shared" si="213"/>
        <v>0.19011797882804038</v>
      </c>
      <c r="AE99" s="18">
        <f t="shared" si="213"/>
        <v>0.16243519050568445</v>
      </c>
      <c r="AF99" s="18">
        <f t="shared" si="213"/>
        <v>0.1398480912004241</v>
      </c>
    </row>
  </sheetData>
  <mergeCells count="4">
    <mergeCell ref="B2:AF2"/>
    <mergeCell ref="B27:AF27"/>
    <mergeCell ref="B52:AF52"/>
    <mergeCell ref="B77:AF77"/>
  </mergeCells>
  <pageMargins left="0.23622047244094491" right="0.23622047244094491" top="0.35433070866141736" bottom="0.43307086614173229" header="0.31496062992125984" footer="0.31496062992125984"/>
  <pageSetup paperSize="9" scale="73"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58A1-678B-41D8-B410-78F6C846F3D9}">
  <dimension ref="A1:AC37"/>
  <sheetViews>
    <sheetView workbookViewId="0">
      <selection activeCell="U5" sqref="U5:AC19"/>
    </sheetView>
  </sheetViews>
  <sheetFormatPr baseColWidth="10" defaultColWidth="8.83203125" defaultRowHeight="15" x14ac:dyDescent="0.2"/>
  <cols>
    <col min="1" max="1" width="35.5" customWidth="1"/>
    <col min="4" max="4" width="14.5" bestFit="1" customWidth="1"/>
    <col min="7" max="7" width="35.6640625" bestFit="1" customWidth="1"/>
    <col min="10" max="10" width="14.5" customWidth="1"/>
  </cols>
  <sheetData>
    <row r="1" spans="1:29" x14ac:dyDescent="0.2">
      <c r="A1" t="s">
        <v>569</v>
      </c>
    </row>
    <row r="3" spans="1:29" x14ac:dyDescent="0.2">
      <c r="A3" t="s">
        <v>579</v>
      </c>
      <c r="G3" s="175" t="s">
        <v>578</v>
      </c>
    </row>
    <row r="4" spans="1:29" x14ac:dyDescent="0.2">
      <c r="A4" s="175" t="s">
        <v>529</v>
      </c>
      <c r="B4" s="51" t="s">
        <v>16</v>
      </c>
      <c r="G4" s="175" t="s">
        <v>529</v>
      </c>
      <c r="H4" s="51" t="s">
        <v>16</v>
      </c>
    </row>
    <row r="5" spans="1:29" x14ac:dyDescent="0.2">
      <c r="A5" t="s">
        <v>540</v>
      </c>
      <c r="B5" s="186">
        <v>4.5999999999999996</v>
      </c>
      <c r="C5" t="s">
        <v>557</v>
      </c>
      <c r="G5" t="s">
        <v>540</v>
      </c>
      <c r="H5" s="186"/>
      <c r="I5" t="s">
        <v>557</v>
      </c>
      <c r="U5" s="447" t="s">
        <v>581</v>
      </c>
      <c r="V5" s="447"/>
      <c r="W5" s="447"/>
      <c r="X5" s="447"/>
      <c r="Y5" s="447"/>
      <c r="Z5" s="447"/>
      <c r="AA5" s="447"/>
      <c r="AB5" s="447"/>
      <c r="AC5" s="447"/>
    </row>
    <row r="6" spans="1:29" x14ac:dyDescent="0.2">
      <c r="A6" t="s">
        <v>541</v>
      </c>
      <c r="B6" s="186">
        <v>6.1</v>
      </c>
      <c r="D6" s="177" t="s">
        <v>561</v>
      </c>
      <c r="E6" s="176"/>
      <c r="G6" t="s">
        <v>541</v>
      </c>
      <c r="H6" s="186"/>
      <c r="J6" s="177" t="s">
        <v>561</v>
      </c>
      <c r="K6" s="176"/>
      <c r="U6" s="447"/>
      <c r="V6" s="447"/>
      <c r="W6" s="447"/>
      <c r="X6" s="447"/>
      <c r="Y6" s="447"/>
      <c r="Z6" s="447"/>
      <c r="AA6" s="447"/>
      <c r="AB6" s="447"/>
      <c r="AC6" s="447"/>
    </row>
    <row r="7" spans="1:29" x14ac:dyDescent="0.2">
      <c r="A7" t="s">
        <v>542</v>
      </c>
      <c r="B7" s="186">
        <v>6.9</v>
      </c>
      <c r="D7" s="176" t="s">
        <v>563</v>
      </c>
      <c r="E7" s="178">
        <f>AVERAGE(B5:B15)</f>
        <v>7.1909090909090905</v>
      </c>
      <c r="G7" t="s">
        <v>542</v>
      </c>
      <c r="H7" s="186">
        <v>6.9</v>
      </c>
      <c r="J7" s="176" t="s">
        <v>563</v>
      </c>
      <c r="K7" s="178">
        <f>AVERAGE(H5:H15)</f>
        <v>7.6000000000000005</v>
      </c>
      <c r="U7" s="447"/>
      <c r="V7" s="447"/>
      <c r="W7" s="447"/>
      <c r="X7" s="447"/>
      <c r="Y7" s="447"/>
      <c r="Z7" s="447"/>
      <c r="AA7" s="447"/>
      <c r="AB7" s="447"/>
      <c r="AC7" s="447"/>
    </row>
    <row r="8" spans="1:29" x14ac:dyDescent="0.2">
      <c r="A8" t="s">
        <v>543</v>
      </c>
      <c r="B8" s="188">
        <v>8.1999999999999993</v>
      </c>
      <c r="D8" s="176" t="s">
        <v>551</v>
      </c>
      <c r="E8" s="176">
        <f>MEDIAN(B5:B15)</f>
        <v>7.3</v>
      </c>
      <c r="G8" t="s">
        <v>543</v>
      </c>
      <c r="H8" s="188">
        <v>8.1999999999999993</v>
      </c>
      <c r="J8" s="176" t="s">
        <v>551</v>
      </c>
      <c r="K8" s="176">
        <f>MEDIAN(H5:H15)</f>
        <v>7.4</v>
      </c>
      <c r="U8" s="447"/>
      <c r="V8" s="447"/>
      <c r="W8" s="447"/>
      <c r="X8" s="447"/>
      <c r="Y8" s="447"/>
      <c r="Z8" s="447"/>
      <c r="AA8" s="447"/>
      <c r="AB8" s="447"/>
      <c r="AC8" s="447"/>
    </row>
    <row r="9" spans="1:29" x14ac:dyDescent="0.2">
      <c r="A9" t="s">
        <v>544</v>
      </c>
      <c r="B9" s="186">
        <v>7.1</v>
      </c>
      <c r="D9" s="176" t="s">
        <v>552</v>
      </c>
      <c r="E9" s="176">
        <f>PERCENTILE(B5:B15,0.1)</f>
        <v>6.1</v>
      </c>
      <c r="G9" t="s">
        <v>544</v>
      </c>
      <c r="H9" s="186">
        <v>7.1</v>
      </c>
      <c r="J9" s="176" t="s">
        <v>552</v>
      </c>
      <c r="K9" s="176">
        <f>PERCENTILE(H5:H15,0.1)</f>
        <v>7.06</v>
      </c>
      <c r="U9" s="447"/>
      <c r="V9" s="447"/>
      <c r="W9" s="447"/>
      <c r="X9" s="447"/>
      <c r="Y9" s="447"/>
      <c r="Z9" s="447"/>
      <c r="AA9" s="447"/>
      <c r="AB9" s="447"/>
      <c r="AC9" s="447"/>
    </row>
    <row r="10" spans="1:29" x14ac:dyDescent="0.2">
      <c r="A10" t="s">
        <v>545</v>
      </c>
      <c r="B10" s="186">
        <v>7.3</v>
      </c>
      <c r="D10" s="176" t="s">
        <v>553</v>
      </c>
      <c r="E10" s="176">
        <f>PERCENTILE(B5:B15,0.9)</f>
        <v>8.1999999999999993</v>
      </c>
      <c r="G10" t="s">
        <v>545</v>
      </c>
      <c r="H10" s="186">
        <v>7.3</v>
      </c>
      <c r="J10" s="176" t="s">
        <v>553</v>
      </c>
      <c r="K10" s="176">
        <f>PERCENTILE(H5:H15,0.9)</f>
        <v>8.3199999999999985</v>
      </c>
      <c r="U10" s="447"/>
      <c r="V10" s="447"/>
      <c r="W10" s="447"/>
      <c r="X10" s="447"/>
      <c r="Y10" s="447"/>
      <c r="Z10" s="447"/>
      <c r="AA10" s="447"/>
      <c r="AB10" s="447"/>
      <c r="AC10" s="447"/>
    </row>
    <row r="11" spans="1:29" x14ac:dyDescent="0.2">
      <c r="A11" t="s">
        <v>546</v>
      </c>
      <c r="B11" s="186">
        <v>7.4</v>
      </c>
      <c r="G11" t="s">
        <v>546</v>
      </c>
      <c r="H11" s="186">
        <v>7.4</v>
      </c>
      <c r="U11" s="447"/>
      <c r="V11" s="447"/>
      <c r="W11" s="447"/>
      <c r="X11" s="447"/>
      <c r="Y11" s="447"/>
      <c r="Z11" s="447"/>
      <c r="AA11" s="447"/>
      <c r="AB11" s="447"/>
      <c r="AC11" s="447"/>
    </row>
    <row r="12" spans="1:29" x14ac:dyDescent="0.2">
      <c r="A12" t="s">
        <v>547</v>
      </c>
      <c r="B12" s="188">
        <v>7.6</v>
      </c>
      <c r="G12" t="s">
        <v>547</v>
      </c>
      <c r="H12" s="188">
        <v>7.6</v>
      </c>
      <c r="U12" s="447"/>
      <c r="V12" s="447"/>
      <c r="W12" s="447"/>
      <c r="X12" s="447"/>
      <c r="Y12" s="447"/>
      <c r="Z12" s="447"/>
      <c r="AA12" s="447"/>
      <c r="AB12" s="447"/>
      <c r="AC12" s="447"/>
    </row>
    <row r="13" spans="1:29" x14ac:dyDescent="0.2">
      <c r="A13" t="s">
        <v>548</v>
      </c>
      <c r="B13" s="188">
        <v>7.9</v>
      </c>
      <c r="G13" t="s">
        <v>548</v>
      </c>
      <c r="H13" s="188">
        <v>7.9</v>
      </c>
      <c r="U13" s="447"/>
      <c r="V13" s="447"/>
      <c r="W13" s="447"/>
      <c r="X13" s="447"/>
      <c r="Y13" s="447"/>
      <c r="Z13" s="447"/>
      <c r="AA13" s="447"/>
      <c r="AB13" s="447"/>
      <c r="AC13" s="447"/>
    </row>
    <row r="14" spans="1:29" x14ac:dyDescent="0.2">
      <c r="A14" t="s">
        <v>549</v>
      </c>
      <c r="B14" s="186">
        <v>7.2</v>
      </c>
      <c r="G14" t="s">
        <v>549</v>
      </c>
      <c r="H14" s="186">
        <v>7.2</v>
      </c>
      <c r="U14" s="447"/>
      <c r="V14" s="447"/>
      <c r="W14" s="447"/>
      <c r="X14" s="447"/>
      <c r="Y14" s="447"/>
      <c r="Z14" s="447"/>
      <c r="AA14" s="447"/>
      <c r="AB14" s="447"/>
      <c r="AC14" s="447"/>
    </row>
    <row r="15" spans="1:29" x14ac:dyDescent="0.2">
      <c r="A15" t="s">
        <v>550</v>
      </c>
      <c r="B15" s="188">
        <v>8.8000000000000007</v>
      </c>
      <c r="G15" t="s">
        <v>550</v>
      </c>
      <c r="H15" s="188">
        <v>8.8000000000000007</v>
      </c>
      <c r="U15" s="447"/>
      <c r="V15" s="447"/>
      <c r="W15" s="447"/>
      <c r="X15" s="447"/>
      <c r="Y15" s="447"/>
      <c r="Z15" s="447"/>
      <c r="AA15" s="447"/>
      <c r="AB15" s="447"/>
      <c r="AC15" s="447"/>
    </row>
    <row r="16" spans="1:29" x14ac:dyDescent="0.2">
      <c r="A16" t="s">
        <v>530</v>
      </c>
      <c r="B16" s="188">
        <v>7.8</v>
      </c>
      <c r="C16" t="s">
        <v>556</v>
      </c>
      <c r="G16" t="s">
        <v>530</v>
      </c>
      <c r="H16" s="188">
        <v>7.8</v>
      </c>
      <c r="I16" t="s">
        <v>556</v>
      </c>
      <c r="U16" s="447"/>
      <c r="V16" s="447"/>
      <c r="W16" s="447"/>
      <c r="X16" s="447"/>
      <c r="Y16" s="447"/>
      <c r="Z16" s="447"/>
      <c r="AA16" s="447"/>
      <c r="AB16" s="447"/>
      <c r="AC16" s="447"/>
    </row>
    <row r="17" spans="1:29" x14ac:dyDescent="0.2">
      <c r="A17" t="s">
        <v>531</v>
      </c>
      <c r="B17" s="188">
        <v>8.1999999999999993</v>
      </c>
      <c r="D17" s="180" t="s">
        <v>562</v>
      </c>
      <c r="E17" s="179"/>
      <c r="G17" t="s">
        <v>531</v>
      </c>
      <c r="H17" s="188">
        <v>8.1999999999999993</v>
      </c>
      <c r="J17" s="180" t="s">
        <v>562</v>
      </c>
      <c r="K17" s="179"/>
      <c r="U17" s="447"/>
      <c r="V17" s="447"/>
      <c r="W17" s="447"/>
      <c r="X17" s="447"/>
      <c r="Y17" s="447"/>
      <c r="Z17" s="447"/>
      <c r="AA17" s="447"/>
      <c r="AB17" s="447"/>
      <c r="AC17" s="447"/>
    </row>
    <row r="18" spans="1:29" x14ac:dyDescent="0.2">
      <c r="A18" t="s">
        <v>532</v>
      </c>
      <c r="B18" s="186">
        <v>7</v>
      </c>
      <c r="D18" s="179" t="s">
        <v>563</v>
      </c>
      <c r="E18" s="181">
        <f>AVERAGE(B16:B25)</f>
        <v>7.2600000000000007</v>
      </c>
      <c r="G18" t="s">
        <v>532</v>
      </c>
      <c r="H18" s="186">
        <v>7</v>
      </c>
      <c r="J18" s="179" t="s">
        <v>563</v>
      </c>
      <c r="K18" s="181">
        <f>AVERAGE(H16:H25)</f>
        <v>7.5777777777777784</v>
      </c>
      <c r="U18" s="447"/>
      <c r="V18" s="447"/>
      <c r="W18" s="447"/>
      <c r="X18" s="447"/>
      <c r="Y18" s="447"/>
      <c r="Z18" s="447"/>
      <c r="AA18" s="447"/>
      <c r="AB18" s="447"/>
      <c r="AC18" s="447"/>
    </row>
    <row r="19" spans="1:29" x14ac:dyDescent="0.2">
      <c r="A19" t="s">
        <v>533</v>
      </c>
      <c r="B19" s="188">
        <v>8.3000000000000007</v>
      </c>
      <c r="D19" s="179" t="s">
        <v>551</v>
      </c>
      <c r="E19" s="179">
        <f>MEDIAN(B16:B25)</f>
        <v>7.6</v>
      </c>
      <c r="G19" t="s">
        <v>533</v>
      </c>
      <c r="H19" s="188">
        <v>8.3000000000000007</v>
      </c>
      <c r="J19" s="179" t="s">
        <v>551</v>
      </c>
      <c r="K19" s="179">
        <f>MEDIAN(H16:H25)</f>
        <v>7.7</v>
      </c>
      <c r="U19" s="447"/>
      <c r="V19" s="447"/>
      <c r="W19" s="447"/>
      <c r="X19" s="447"/>
      <c r="Y19" s="447"/>
      <c r="Z19" s="447"/>
      <c r="AA19" s="447"/>
      <c r="AB19" s="447"/>
      <c r="AC19" s="447"/>
    </row>
    <row r="20" spans="1:29" x14ac:dyDescent="0.2">
      <c r="A20" t="s">
        <v>534</v>
      </c>
      <c r="B20" s="188">
        <v>8.1999999999999993</v>
      </c>
      <c r="D20" s="179" t="s">
        <v>552</v>
      </c>
      <c r="E20" s="179">
        <f>PERCENTILE(B16:B25,0.1)</f>
        <v>6.29</v>
      </c>
      <c r="G20" t="s">
        <v>534</v>
      </c>
      <c r="H20" s="188">
        <v>8.1999999999999993</v>
      </c>
      <c r="J20" s="179" t="s">
        <v>552</v>
      </c>
      <c r="K20" s="179">
        <f>PERCENTILE(H16:H25,0.1)</f>
        <v>6.9</v>
      </c>
    </row>
    <row r="21" spans="1:29" x14ac:dyDescent="0.2">
      <c r="A21" t="s">
        <v>535</v>
      </c>
      <c r="B21" s="188">
        <v>7.7</v>
      </c>
      <c r="D21" s="179" t="s">
        <v>553</v>
      </c>
      <c r="E21" s="179">
        <f>PERCENTILE(B16:B25,0.9)</f>
        <v>8.2099999999999991</v>
      </c>
      <c r="G21" t="s">
        <v>535</v>
      </c>
      <c r="H21" s="188">
        <v>7.7</v>
      </c>
      <c r="J21" s="179" t="s">
        <v>553</v>
      </c>
      <c r="K21" s="179">
        <f>PERCENTILE(H16:H25,0.9)</f>
        <v>8.2199999999999989</v>
      </c>
    </row>
    <row r="22" spans="1:29" x14ac:dyDescent="0.2">
      <c r="A22" t="s">
        <v>536</v>
      </c>
      <c r="B22" s="186">
        <v>7</v>
      </c>
      <c r="G22" t="s">
        <v>536</v>
      </c>
      <c r="H22" s="186">
        <v>7</v>
      </c>
    </row>
    <row r="23" spans="1:29" x14ac:dyDescent="0.2">
      <c r="A23" t="s">
        <v>537</v>
      </c>
      <c r="B23" s="188">
        <v>7.5</v>
      </c>
      <c r="G23" t="s">
        <v>537</v>
      </c>
      <c r="H23" s="188">
        <v>7.5</v>
      </c>
    </row>
    <row r="24" spans="1:29" x14ac:dyDescent="0.2">
      <c r="A24" t="s">
        <v>538</v>
      </c>
      <c r="B24" s="186">
        <v>4.4000000000000004</v>
      </c>
      <c r="G24" t="s">
        <v>538</v>
      </c>
      <c r="H24" s="186">
        <v>6.5</v>
      </c>
    </row>
    <row r="25" spans="1:29" x14ac:dyDescent="0.2">
      <c r="A25" t="s">
        <v>539</v>
      </c>
      <c r="B25" s="186">
        <v>6.5</v>
      </c>
      <c r="G25" t="s">
        <v>539</v>
      </c>
      <c r="H25" s="186"/>
    </row>
    <row r="26" spans="1:29" x14ac:dyDescent="0.2">
      <c r="B26" s="87"/>
      <c r="H26" s="87"/>
    </row>
    <row r="27" spans="1:29" x14ac:dyDescent="0.2">
      <c r="A27" t="s">
        <v>564</v>
      </c>
      <c r="B27" s="87">
        <v>7.5</v>
      </c>
      <c r="G27" t="s">
        <v>564</v>
      </c>
      <c r="H27" s="87">
        <v>7.5</v>
      </c>
    </row>
    <row r="28" spans="1:29" x14ac:dyDescent="0.2">
      <c r="B28" s="87"/>
      <c r="H28" s="87"/>
    </row>
    <row r="29" spans="1:29" x14ac:dyDescent="0.2">
      <c r="A29" s="182" t="s">
        <v>560</v>
      </c>
      <c r="B29" s="183"/>
      <c r="G29" s="182" t="s">
        <v>560</v>
      </c>
      <c r="H29" s="183"/>
    </row>
    <row r="30" spans="1:29" x14ac:dyDescent="0.2">
      <c r="A30" s="42" t="s">
        <v>558</v>
      </c>
      <c r="B30" s="184">
        <f>AVERAGE(B5:B25)</f>
        <v>7.2238095238095248</v>
      </c>
      <c r="G30" s="42" t="s">
        <v>558</v>
      </c>
      <c r="H30" s="184">
        <f>AVERAGE(H5:H25)</f>
        <v>7.5888888888888903</v>
      </c>
    </row>
    <row r="31" spans="1:29" x14ac:dyDescent="0.2">
      <c r="A31" s="42" t="s">
        <v>559</v>
      </c>
      <c r="B31" s="183">
        <f>MEDIAN(B5:B25)</f>
        <v>7.4</v>
      </c>
      <c r="G31" s="42" t="s">
        <v>559</v>
      </c>
      <c r="H31" s="183">
        <f>MEDIAN(H5:H25)</f>
        <v>7.55</v>
      </c>
    </row>
    <row r="32" spans="1:29" x14ac:dyDescent="0.2">
      <c r="A32" s="42" t="s">
        <v>554</v>
      </c>
      <c r="B32" s="183">
        <f>PERCENTILE(B5:B25,0.1)</f>
        <v>6.1</v>
      </c>
      <c r="G32" s="42" t="s">
        <v>554</v>
      </c>
      <c r="H32" s="183">
        <f>PERCENTILE(H5:H25,0.1)</f>
        <v>6.97</v>
      </c>
    </row>
    <row r="33" spans="1:9" x14ac:dyDescent="0.2">
      <c r="A33" s="42" t="s">
        <v>555</v>
      </c>
      <c r="B33" s="183">
        <f>PERCENTILE(B5:B25,0.9)</f>
        <v>8.1999999999999993</v>
      </c>
      <c r="G33" s="42" t="s">
        <v>555</v>
      </c>
      <c r="H33" s="183">
        <f>PERCENTILE(H5:H25,0.9)</f>
        <v>8.23</v>
      </c>
    </row>
    <row r="34" spans="1:9" x14ac:dyDescent="0.2">
      <c r="B34" s="87"/>
      <c r="H34" s="87"/>
    </row>
    <row r="36" spans="1:9" x14ac:dyDescent="0.2">
      <c r="A36" t="s">
        <v>565</v>
      </c>
      <c r="B36" s="185"/>
      <c r="C36" t="s">
        <v>567</v>
      </c>
      <c r="G36" t="s">
        <v>565</v>
      </c>
      <c r="H36" s="185"/>
      <c r="I36" t="s">
        <v>580</v>
      </c>
    </row>
    <row r="37" spans="1:9" x14ac:dyDescent="0.2">
      <c r="A37" t="s">
        <v>566</v>
      </c>
      <c r="B37" s="187"/>
      <c r="C37" t="s">
        <v>568</v>
      </c>
      <c r="G37" t="s">
        <v>566</v>
      </c>
      <c r="H37" s="187"/>
      <c r="I37" t="s">
        <v>568</v>
      </c>
    </row>
  </sheetData>
  <mergeCells count="1">
    <mergeCell ref="U5:AC19"/>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E891-5287-463C-93CA-2E27808A8899}">
  <dimension ref="A1:B42"/>
  <sheetViews>
    <sheetView workbookViewId="0">
      <selection activeCell="B21" sqref="B21"/>
    </sheetView>
  </sheetViews>
  <sheetFormatPr baseColWidth="10" defaultColWidth="8.83203125" defaultRowHeight="15" x14ac:dyDescent="0.2"/>
  <cols>
    <col min="2" max="2" width="9.1640625" style="229"/>
  </cols>
  <sheetData>
    <row r="1" spans="1:2" x14ac:dyDescent="0.2">
      <c r="A1" s="211" t="s">
        <v>622</v>
      </c>
    </row>
    <row r="2" spans="1:2" x14ac:dyDescent="0.2">
      <c r="A2" s="211"/>
    </row>
    <row r="3" spans="1:2" x14ac:dyDescent="0.2">
      <c r="A3" s="175" t="s">
        <v>623</v>
      </c>
      <c r="B3" s="230" t="s">
        <v>624</v>
      </c>
    </row>
    <row r="4" spans="1:2" x14ac:dyDescent="0.2">
      <c r="A4" s="231" t="s">
        <v>625</v>
      </c>
    </row>
    <row r="5" spans="1:2" x14ac:dyDescent="0.2">
      <c r="A5" s="87">
        <v>220</v>
      </c>
      <c r="B5" s="229" t="s">
        <v>626</v>
      </c>
    </row>
    <row r="6" spans="1:2" x14ac:dyDescent="0.2">
      <c r="A6" s="23">
        <v>221</v>
      </c>
      <c r="B6" s="229" t="s">
        <v>627</v>
      </c>
    </row>
    <row r="7" spans="1:2" x14ac:dyDescent="0.2">
      <c r="A7" s="23">
        <v>222</v>
      </c>
      <c r="B7" s="229" t="s">
        <v>628</v>
      </c>
    </row>
    <row r="8" spans="1:2" x14ac:dyDescent="0.2">
      <c r="A8" s="23">
        <v>223</v>
      </c>
      <c r="B8" s="229" t="s">
        <v>629</v>
      </c>
    </row>
    <row r="9" spans="1:2" x14ac:dyDescent="0.2">
      <c r="A9" s="23">
        <v>224</v>
      </c>
      <c r="B9" s="229" t="s">
        <v>630</v>
      </c>
    </row>
    <row r="10" spans="1:2" x14ac:dyDescent="0.2">
      <c r="A10" s="23">
        <v>225</v>
      </c>
      <c r="B10" s="229" t="s">
        <v>631</v>
      </c>
    </row>
    <row r="11" spans="1:2" x14ac:dyDescent="0.2">
      <c r="A11" s="23">
        <v>226</v>
      </c>
      <c r="B11" s="229" t="s">
        <v>632</v>
      </c>
    </row>
    <row r="12" spans="1:2" x14ac:dyDescent="0.2">
      <c r="A12" s="23">
        <v>227</v>
      </c>
      <c r="B12" s="229" t="s">
        <v>633</v>
      </c>
    </row>
    <row r="13" spans="1:2" x14ac:dyDescent="0.2">
      <c r="A13" s="23">
        <v>228</v>
      </c>
      <c r="B13" s="229" t="s">
        <v>634</v>
      </c>
    </row>
    <row r="14" spans="1:2" x14ac:dyDescent="0.2">
      <c r="A14" s="23">
        <v>229</v>
      </c>
      <c r="B14" s="229" t="s">
        <v>635</v>
      </c>
    </row>
    <row r="15" spans="1:2" x14ac:dyDescent="0.2">
      <c r="A15" s="23">
        <v>231</v>
      </c>
      <c r="B15" s="229" t="s">
        <v>636</v>
      </c>
    </row>
    <row r="16" spans="1:2" x14ac:dyDescent="0.2">
      <c r="A16" s="23">
        <v>232</v>
      </c>
      <c r="B16" s="229" t="s">
        <v>637</v>
      </c>
    </row>
    <row r="17" spans="1:2" x14ac:dyDescent="0.2">
      <c r="A17" s="23">
        <v>233</v>
      </c>
      <c r="B17" s="229" t="s">
        <v>638</v>
      </c>
    </row>
    <row r="18" spans="1:2" x14ac:dyDescent="0.2">
      <c r="A18" s="23">
        <v>234</v>
      </c>
      <c r="B18" s="229" t="s">
        <v>639</v>
      </c>
    </row>
    <row r="19" spans="1:2" x14ac:dyDescent="0.2">
      <c r="A19" s="9">
        <v>235</v>
      </c>
      <c r="B19" s="229" t="s">
        <v>640</v>
      </c>
    </row>
    <row r="20" spans="1:2" x14ac:dyDescent="0.2">
      <c r="A20" s="9">
        <v>236</v>
      </c>
      <c r="B20" s="229" t="s">
        <v>641</v>
      </c>
    </row>
    <row r="21" spans="1:2" x14ac:dyDescent="0.2">
      <c r="A21" s="9">
        <v>237</v>
      </c>
      <c r="B21" s="229" t="s">
        <v>642</v>
      </c>
    </row>
    <row r="22" spans="1:2" x14ac:dyDescent="0.2">
      <c r="A22" s="9">
        <v>238</v>
      </c>
      <c r="B22" s="229" t="s">
        <v>643</v>
      </c>
    </row>
    <row r="23" spans="1:2" x14ac:dyDescent="0.2">
      <c r="A23" s="9">
        <v>239</v>
      </c>
      <c r="B23" s="229" t="s">
        <v>644</v>
      </c>
    </row>
    <row r="24" spans="1:2" x14ac:dyDescent="0.2">
      <c r="A24" s="9">
        <v>240</v>
      </c>
      <c r="B24" s="229" t="s">
        <v>645</v>
      </c>
    </row>
    <row r="25" spans="1:2" x14ac:dyDescent="0.2">
      <c r="A25" s="232">
        <v>241</v>
      </c>
      <c r="B25" s="233" t="s">
        <v>646</v>
      </c>
    </row>
    <row r="26" spans="1:2" x14ac:dyDescent="0.2">
      <c r="A26" s="9">
        <v>242</v>
      </c>
      <c r="B26" s="229" t="s">
        <v>647</v>
      </c>
    </row>
    <row r="27" spans="1:2" x14ac:dyDescent="0.2">
      <c r="A27" s="9">
        <v>243</v>
      </c>
      <c r="B27" s="229" t="s">
        <v>648</v>
      </c>
    </row>
    <row r="28" spans="1:2" x14ac:dyDescent="0.2">
      <c r="A28" s="9">
        <v>244</v>
      </c>
      <c r="B28" s="229" t="s">
        <v>649</v>
      </c>
    </row>
    <row r="29" spans="1:2" x14ac:dyDescent="0.2">
      <c r="A29" s="9">
        <v>245</v>
      </c>
      <c r="B29" s="229" t="s">
        <v>650</v>
      </c>
    </row>
    <row r="30" spans="1:2" x14ac:dyDescent="0.2">
      <c r="A30" s="9">
        <v>247</v>
      </c>
      <c r="B30" s="229" t="s">
        <v>651</v>
      </c>
    </row>
    <row r="31" spans="1:2" x14ac:dyDescent="0.2">
      <c r="A31" s="9">
        <v>248</v>
      </c>
      <c r="B31" s="229" t="s">
        <v>652</v>
      </c>
    </row>
    <row r="32" spans="1:2" x14ac:dyDescent="0.2">
      <c r="A32" s="9">
        <v>249</v>
      </c>
      <c r="B32" s="229" t="s">
        <v>653</v>
      </c>
    </row>
    <row r="33" spans="1:2" x14ac:dyDescent="0.2">
      <c r="A33" s="9">
        <v>250</v>
      </c>
      <c r="B33" s="229" t="s">
        <v>654</v>
      </c>
    </row>
    <row r="34" spans="1:2" x14ac:dyDescent="0.2">
      <c r="A34" s="9">
        <v>251</v>
      </c>
      <c r="B34" s="229" t="s">
        <v>655</v>
      </c>
    </row>
    <row r="35" spans="1:2" x14ac:dyDescent="0.2">
      <c r="A35" s="9">
        <v>252</v>
      </c>
      <c r="B35" s="229" t="s">
        <v>656</v>
      </c>
    </row>
    <row r="36" spans="1:2" x14ac:dyDescent="0.2">
      <c r="A36" s="9">
        <v>253</v>
      </c>
      <c r="B36" s="229" t="s">
        <v>657</v>
      </c>
    </row>
    <row r="37" spans="1:2" x14ac:dyDescent="0.2">
      <c r="A37" s="9">
        <v>254</v>
      </c>
      <c r="B37" s="229" t="s">
        <v>658</v>
      </c>
    </row>
    <row r="38" spans="1:2" x14ac:dyDescent="0.2">
      <c r="A38" s="9">
        <v>256</v>
      </c>
      <c r="B38" s="229" t="s">
        <v>659</v>
      </c>
    </row>
    <row r="39" spans="1:2" x14ac:dyDescent="0.2">
      <c r="A39" s="231" t="s">
        <v>660</v>
      </c>
    </row>
    <row r="40" spans="1:2" x14ac:dyDescent="0.2">
      <c r="A40" s="9">
        <v>230</v>
      </c>
      <c r="B40" s="229" t="s">
        <v>661</v>
      </c>
    </row>
    <row r="41" spans="1:2" x14ac:dyDescent="0.2">
      <c r="A41" s="87">
        <v>246</v>
      </c>
      <c r="B41" s="229" t="s">
        <v>662</v>
      </c>
    </row>
    <row r="42" spans="1:2" x14ac:dyDescent="0.2">
      <c r="A42" s="87">
        <v>255</v>
      </c>
      <c r="B42" s="229" t="s">
        <v>663</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A81A0-A746-4A52-8889-8225C03B9EF8}">
  <dimension ref="A1:X184"/>
  <sheetViews>
    <sheetView zoomScale="70" zoomScaleNormal="70" workbookViewId="0">
      <selection activeCell="S17" sqref="S17:T17"/>
    </sheetView>
  </sheetViews>
  <sheetFormatPr baseColWidth="10" defaultColWidth="8.83203125" defaultRowHeight="15" x14ac:dyDescent="0.2"/>
  <cols>
    <col min="1" max="2" width="8.6640625" customWidth="1"/>
    <col min="3" max="3" width="9.6640625" customWidth="1"/>
    <col min="5" max="5" width="10.1640625" customWidth="1"/>
    <col min="6" max="6" width="14" customWidth="1"/>
    <col min="7" max="7" width="10.6640625" style="234" customWidth="1"/>
    <col min="8" max="8" width="62.5" customWidth="1"/>
    <col min="9" max="9" width="11.5" customWidth="1"/>
    <col min="10" max="18" width="10.6640625" customWidth="1"/>
    <col min="19" max="22" width="12.6640625" customWidth="1"/>
    <col min="23" max="23" width="23.5" style="87" customWidth="1"/>
  </cols>
  <sheetData>
    <row r="1" spans="1:23" x14ac:dyDescent="0.2">
      <c r="A1" s="175" t="s">
        <v>664</v>
      </c>
      <c r="J1" s="235"/>
      <c r="K1" t="s">
        <v>665</v>
      </c>
    </row>
    <row r="2" spans="1:23" x14ac:dyDescent="0.2">
      <c r="J2" s="236"/>
      <c r="K2" t="s">
        <v>666</v>
      </c>
    </row>
    <row r="3" spans="1:23" x14ac:dyDescent="0.2">
      <c r="J3" s="179"/>
      <c r="K3" t="s">
        <v>667</v>
      </c>
    </row>
    <row r="4" spans="1:23" x14ac:dyDescent="0.2">
      <c r="J4" s="185"/>
      <c r="K4" t="s">
        <v>668</v>
      </c>
    </row>
    <row r="5" spans="1:23" ht="17" x14ac:dyDescent="0.25">
      <c r="J5" s="42"/>
      <c r="K5" t="s">
        <v>669</v>
      </c>
    </row>
    <row r="6" spans="1:23" x14ac:dyDescent="0.2">
      <c r="J6" t="s">
        <v>670</v>
      </c>
    </row>
    <row r="7" spans="1:23" x14ac:dyDescent="0.2">
      <c r="J7" t="s">
        <v>671</v>
      </c>
    </row>
    <row r="8" spans="1:23" x14ac:dyDescent="0.2">
      <c r="J8" t="s">
        <v>672</v>
      </c>
    </row>
    <row r="9" spans="1:23" x14ac:dyDescent="0.2">
      <c r="J9" t="s">
        <v>673</v>
      </c>
    </row>
    <row r="10" spans="1:23" x14ac:dyDescent="0.2">
      <c r="J10" s="447" t="s">
        <v>674</v>
      </c>
      <c r="K10" s="447"/>
      <c r="L10" s="447"/>
      <c r="M10" s="447"/>
      <c r="N10" s="447"/>
      <c r="O10" s="447"/>
      <c r="P10" s="447"/>
      <c r="Q10" s="447"/>
      <c r="R10" s="447"/>
      <c r="S10" s="447"/>
      <c r="T10" s="447"/>
      <c r="U10" s="447"/>
      <c r="V10" s="447"/>
      <c r="W10" s="447"/>
    </row>
    <row r="11" spans="1:23" x14ac:dyDescent="0.2">
      <c r="J11" s="447"/>
      <c r="K11" s="447"/>
      <c r="L11" s="447"/>
      <c r="M11" s="447"/>
      <c r="N11" s="447"/>
      <c r="O11" s="447"/>
      <c r="P11" s="447"/>
      <c r="Q11" s="447"/>
      <c r="R11" s="447"/>
      <c r="S11" s="447"/>
      <c r="T11" s="447"/>
      <c r="U11" s="447"/>
      <c r="V11" s="447"/>
      <c r="W11" s="447"/>
    </row>
    <row r="12" spans="1:23" ht="14.5" customHeight="1" x14ac:dyDescent="0.2">
      <c r="J12" s="447"/>
      <c r="K12" s="447"/>
      <c r="L12" s="447"/>
      <c r="M12" s="447"/>
      <c r="N12" s="447"/>
      <c r="O12" s="447"/>
      <c r="P12" s="447"/>
      <c r="Q12" s="447"/>
      <c r="R12" s="447"/>
      <c r="S12" s="447"/>
      <c r="T12" s="447"/>
      <c r="U12" s="447"/>
      <c r="V12" s="447"/>
      <c r="W12" s="447"/>
    </row>
    <row r="13" spans="1:23" x14ac:dyDescent="0.2">
      <c r="J13" s="447"/>
      <c r="K13" s="447"/>
      <c r="L13" s="447"/>
      <c r="M13" s="447"/>
      <c r="N13" s="447"/>
      <c r="O13" s="447"/>
      <c r="P13" s="447"/>
      <c r="Q13" s="447"/>
      <c r="R13" s="447"/>
      <c r="S13" s="447"/>
      <c r="T13" s="447"/>
      <c r="U13" s="447"/>
      <c r="V13" s="447"/>
      <c r="W13" s="447"/>
    </row>
    <row r="14" spans="1:23" x14ac:dyDescent="0.2">
      <c r="J14" s="447"/>
      <c r="K14" s="447"/>
      <c r="L14" s="447"/>
      <c r="M14" s="447"/>
      <c r="N14" s="447"/>
      <c r="O14" s="447"/>
      <c r="P14" s="447"/>
      <c r="Q14" s="447"/>
      <c r="R14" s="447"/>
      <c r="S14" s="447"/>
      <c r="T14" s="447"/>
      <c r="U14" s="447"/>
      <c r="V14" s="447"/>
      <c r="W14" s="447"/>
    </row>
    <row r="16" spans="1:23" x14ac:dyDescent="0.2">
      <c r="A16" t="s">
        <v>675</v>
      </c>
      <c r="S16" s="448" t="s">
        <v>676</v>
      </c>
      <c r="T16" s="449"/>
      <c r="U16" s="449"/>
      <c r="V16" s="449"/>
      <c r="W16" s="450"/>
    </row>
    <row r="17" spans="1:24" x14ac:dyDescent="0.2">
      <c r="J17" s="448" t="s">
        <v>677</v>
      </c>
      <c r="K17" s="449"/>
      <c r="L17" s="450"/>
      <c r="M17" s="448" t="s">
        <v>678</v>
      </c>
      <c r="N17" s="449"/>
      <c r="O17" s="449"/>
      <c r="P17" s="449"/>
      <c r="Q17" s="449"/>
      <c r="R17" s="450"/>
      <c r="S17" s="448" t="s">
        <v>679</v>
      </c>
      <c r="T17" s="450"/>
      <c r="U17" s="237" t="s">
        <v>680</v>
      </c>
      <c r="V17" s="448" t="s">
        <v>681</v>
      </c>
      <c r="W17" s="450"/>
    </row>
    <row r="18" spans="1:24" x14ac:dyDescent="0.2">
      <c r="A18" s="448" t="s">
        <v>682</v>
      </c>
      <c r="B18" s="450"/>
      <c r="C18" s="238"/>
      <c r="D18" s="238"/>
      <c r="E18" s="238"/>
      <c r="F18" s="238"/>
      <c r="G18" s="239" t="s">
        <v>683</v>
      </c>
      <c r="H18" s="238"/>
      <c r="I18" s="212"/>
      <c r="J18" s="451" t="s">
        <v>684</v>
      </c>
      <c r="K18" s="452"/>
      <c r="L18" s="453"/>
      <c r="M18" s="451" t="s">
        <v>685</v>
      </c>
      <c r="N18" s="452"/>
      <c r="O18" s="452"/>
      <c r="P18" s="452"/>
      <c r="Q18" s="452"/>
      <c r="R18" s="453"/>
      <c r="S18" s="451" t="s">
        <v>686</v>
      </c>
      <c r="T18" s="453"/>
      <c r="U18" s="223" t="s">
        <v>687</v>
      </c>
      <c r="V18" s="451" t="s">
        <v>688</v>
      </c>
      <c r="W18" s="453"/>
    </row>
    <row r="19" spans="1:24" ht="17" x14ac:dyDescent="0.25">
      <c r="A19" s="223" t="s">
        <v>689</v>
      </c>
      <c r="B19" s="225" t="s">
        <v>690</v>
      </c>
      <c r="C19" s="240" t="s">
        <v>691</v>
      </c>
      <c r="D19" s="240" t="s">
        <v>16</v>
      </c>
      <c r="E19" s="241" t="s">
        <v>692</v>
      </c>
      <c r="F19" s="242" t="s">
        <v>693</v>
      </c>
      <c r="G19" s="243" t="s">
        <v>694</v>
      </c>
      <c r="H19" s="242" t="s">
        <v>695</v>
      </c>
      <c r="I19" s="242" t="s">
        <v>696</v>
      </c>
      <c r="J19" s="244" t="s">
        <v>697</v>
      </c>
      <c r="K19" s="245" t="s">
        <v>698</v>
      </c>
      <c r="L19" s="246" t="s">
        <v>699</v>
      </c>
      <c r="M19" s="247" t="s">
        <v>700</v>
      </c>
      <c r="N19" s="248" t="s">
        <v>698</v>
      </c>
      <c r="O19" s="249" t="s">
        <v>699</v>
      </c>
      <c r="P19" s="247" t="s">
        <v>701</v>
      </c>
      <c r="Q19" s="248" t="s">
        <v>698</v>
      </c>
      <c r="R19" s="249" t="s">
        <v>699</v>
      </c>
      <c r="S19" s="247" t="s">
        <v>700</v>
      </c>
      <c r="T19" s="250" t="s">
        <v>702</v>
      </c>
      <c r="U19" s="251" t="s">
        <v>703</v>
      </c>
      <c r="V19" s="247" t="s">
        <v>704</v>
      </c>
      <c r="W19" s="250" t="s">
        <v>697</v>
      </c>
      <c r="X19" s="230" t="s">
        <v>493</v>
      </c>
    </row>
    <row r="20" spans="1:24" x14ac:dyDescent="0.2">
      <c r="A20" s="252">
        <v>23.9</v>
      </c>
      <c r="B20" s="253">
        <f t="shared" ref="B20:B35" si="0">273.15+A20</f>
        <v>297.04999999999995</v>
      </c>
      <c r="C20" s="254">
        <f t="shared" ref="C20:C35" si="1">0.09018+(2729.92/B20)</f>
        <v>9.2802826763171193</v>
      </c>
      <c r="D20" s="255">
        <v>7.94</v>
      </c>
      <c r="E20" s="256">
        <f t="shared" ref="E20:E35" si="2">1/(POWER(10,C20-D20)+1)</f>
        <v>4.3683648631941595E-2</v>
      </c>
      <c r="F20" s="257">
        <f t="shared" ref="F20:F35" si="3">E20*100</f>
        <v>4.3683648631941594</v>
      </c>
      <c r="G20" s="258" t="s">
        <v>259</v>
      </c>
      <c r="H20" s="212" t="s">
        <v>705</v>
      </c>
      <c r="I20" s="212" t="s">
        <v>54</v>
      </c>
      <c r="J20" s="259">
        <v>8.0500000000000007</v>
      </c>
      <c r="K20" s="260"/>
      <c r="L20" s="260"/>
      <c r="M20" s="261">
        <f t="shared" ref="M20:M35" si="4">P20/0.8235</f>
        <v>427.02291619566472</v>
      </c>
      <c r="N20" s="262"/>
      <c r="O20" s="263"/>
      <c r="P20" s="261">
        <f t="shared" ref="P20:P35" si="5">J20*(F20/100)*1000</f>
        <v>351.6533714871299</v>
      </c>
      <c r="Q20" s="262"/>
      <c r="R20" s="263"/>
      <c r="S20" s="264">
        <f>T20*17/14</f>
        <v>582.85714285714289</v>
      </c>
      <c r="T20" s="265">
        <v>480</v>
      </c>
      <c r="U20" s="266">
        <f>M20/T20*100</f>
        <v>88.963107540763488</v>
      </c>
      <c r="V20" s="267" t="s">
        <v>706</v>
      </c>
      <c r="W20" s="268">
        <f>IF(V20="R",T20,IF(V20="C",P20))</f>
        <v>480</v>
      </c>
      <c r="X20" t="s">
        <v>707</v>
      </c>
    </row>
    <row r="21" spans="1:24" x14ac:dyDescent="0.2">
      <c r="A21" s="269">
        <v>12.4</v>
      </c>
      <c r="B21" s="270">
        <f t="shared" si="0"/>
        <v>285.54999999999995</v>
      </c>
      <c r="C21" s="271">
        <f t="shared" si="1"/>
        <v>9.6503971248467888</v>
      </c>
      <c r="D21" s="272">
        <v>8.07</v>
      </c>
      <c r="E21" s="273">
        <f t="shared" si="2"/>
        <v>2.5605754978752737E-2</v>
      </c>
      <c r="F21" s="274">
        <f t="shared" si="3"/>
        <v>2.5605754978752735</v>
      </c>
      <c r="G21" s="275" t="s">
        <v>267</v>
      </c>
      <c r="H21" s="276" t="s">
        <v>708</v>
      </c>
      <c r="I21" s="276" t="s">
        <v>54</v>
      </c>
      <c r="J21" s="277">
        <v>6.65</v>
      </c>
      <c r="K21" s="278"/>
      <c r="L21" s="278"/>
      <c r="M21" s="279">
        <f t="shared" si="4"/>
        <v>206.77385623400812</v>
      </c>
      <c r="N21" s="280"/>
      <c r="O21" s="281"/>
      <c r="P21" s="279">
        <f t="shared" si="5"/>
        <v>170.2782706087057</v>
      </c>
      <c r="Q21" s="280"/>
      <c r="R21" s="281"/>
      <c r="S21" s="282">
        <f>T21*17/14</f>
        <v>279.28571428571428</v>
      </c>
      <c r="T21" s="283">
        <v>230</v>
      </c>
      <c r="U21" s="284">
        <f>M21/T21*100</f>
        <v>89.901676623481791</v>
      </c>
      <c r="V21" s="218" t="s">
        <v>706</v>
      </c>
      <c r="W21" s="285">
        <f>IF(V21="R",T21,IF(V21="C",P21))</f>
        <v>230</v>
      </c>
    </row>
    <row r="22" spans="1:24" x14ac:dyDescent="0.2">
      <c r="A22" s="269">
        <v>24.7</v>
      </c>
      <c r="B22" s="270">
        <f t="shared" si="0"/>
        <v>297.84999999999997</v>
      </c>
      <c r="C22" s="271">
        <f t="shared" si="1"/>
        <v>9.2555988349840543</v>
      </c>
      <c r="D22" s="272">
        <v>7.92</v>
      </c>
      <c r="E22" s="273">
        <f t="shared" si="2"/>
        <v>4.4136417658692535E-2</v>
      </c>
      <c r="F22" s="274">
        <f t="shared" si="3"/>
        <v>4.4136417658692535</v>
      </c>
      <c r="G22" s="275" t="s">
        <v>348</v>
      </c>
      <c r="H22" s="276" t="s">
        <v>709</v>
      </c>
      <c r="I22" s="276" t="s">
        <v>54</v>
      </c>
      <c r="J22" s="277">
        <v>12.33</v>
      </c>
      <c r="K22" s="278"/>
      <c r="L22" s="278"/>
      <c r="M22" s="279">
        <f t="shared" si="4"/>
        <v>660.84035182960406</v>
      </c>
      <c r="N22" s="280"/>
      <c r="O22" s="281"/>
      <c r="P22" s="279">
        <f t="shared" si="5"/>
        <v>544.20202973167898</v>
      </c>
      <c r="Q22" s="280"/>
      <c r="R22" s="281"/>
      <c r="S22" s="282">
        <f>T22*17/14</f>
        <v>947.14285714285711</v>
      </c>
      <c r="T22" s="283">
        <v>780</v>
      </c>
      <c r="U22" s="284">
        <f>M22/T22*100</f>
        <v>84.723122029436411</v>
      </c>
      <c r="V22" s="218" t="s">
        <v>706</v>
      </c>
      <c r="W22" s="285">
        <f>IF(V22="R",T22,IF(V22="C",P22))</f>
        <v>780</v>
      </c>
    </row>
    <row r="23" spans="1:24" x14ac:dyDescent="0.2">
      <c r="A23" s="286">
        <v>25.5</v>
      </c>
      <c r="B23" s="287">
        <f t="shared" si="0"/>
        <v>298.64999999999998</v>
      </c>
      <c r="C23" s="288">
        <f t="shared" si="1"/>
        <v>9.2310472358948612</v>
      </c>
      <c r="D23" s="289">
        <v>7.95</v>
      </c>
      <c r="E23" s="290">
        <f t="shared" si="2"/>
        <v>4.9749734101464764E-2</v>
      </c>
      <c r="F23" s="291">
        <f t="shared" si="3"/>
        <v>4.9749734101464762</v>
      </c>
      <c r="G23" s="292" t="s">
        <v>351</v>
      </c>
      <c r="H23" s="226" t="s">
        <v>710</v>
      </c>
      <c r="I23" s="226" t="s">
        <v>54</v>
      </c>
      <c r="J23" s="293">
        <v>5.91</v>
      </c>
      <c r="K23" s="294"/>
      <c r="L23" s="294"/>
      <c r="M23" s="295">
        <f t="shared" si="4"/>
        <v>357.03816458974717</v>
      </c>
      <c r="N23" s="296"/>
      <c r="O23" s="297"/>
      <c r="P23" s="295">
        <f t="shared" si="5"/>
        <v>294.02092853965678</v>
      </c>
      <c r="Q23" s="296"/>
      <c r="R23" s="297"/>
      <c r="S23" s="298">
        <f>T23*17/14</f>
        <v>497.85714285714283</v>
      </c>
      <c r="T23" s="299">
        <v>410</v>
      </c>
      <c r="U23" s="300">
        <f>M23/T23*100</f>
        <v>87.082479168231018</v>
      </c>
      <c r="V23" s="301" t="s">
        <v>706</v>
      </c>
      <c r="W23" s="302">
        <f>IF(V23="R",T23,IF(V23="C",P23))</f>
        <v>410</v>
      </c>
    </row>
    <row r="24" spans="1:24" x14ac:dyDescent="0.2">
      <c r="A24" s="252">
        <v>25</v>
      </c>
      <c r="B24" s="253">
        <f t="shared" si="0"/>
        <v>298.14999999999998</v>
      </c>
      <c r="C24" s="254">
        <f t="shared" si="1"/>
        <v>9.2463765453630735</v>
      </c>
      <c r="D24" s="255">
        <v>8.0399999999999991</v>
      </c>
      <c r="E24" s="256">
        <f t="shared" si="2"/>
        <v>5.853652415108089E-2</v>
      </c>
      <c r="F24" s="257">
        <f t="shared" si="3"/>
        <v>5.8536524151080886</v>
      </c>
      <c r="G24" s="258" t="s">
        <v>97</v>
      </c>
      <c r="H24" s="212" t="s">
        <v>711</v>
      </c>
      <c r="I24" s="212" t="s">
        <v>54</v>
      </c>
      <c r="J24" s="259">
        <v>2.5</v>
      </c>
      <c r="K24" s="260"/>
      <c r="L24" s="260"/>
      <c r="M24" s="261">
        <f t="shared" si="4"/>
        <v>177.70650926254061</v>
      </c>
      <c r="N24" s="262"/>
      <c r="O24" s="263"/>
      <c r="P24" s="261">
        <f t="shared" si="5"/>
        <v>146.3413103777022</v>
      </c>
      <c r="Q24" s="262"/>
      <c r="R24" s="263"/>
      <c r="S24" s="259" t="s">
        <v>37</v>
      </c>
      <c r="T24" s="265" t="s">
        <v>37</v>
      </c>
      <c r="U24" s="303" t="s">
        <v>582</v>
      </c>
      <c r="V24" s="267" t="s">
        <v>712</v>
      </c>
      <c r="W24" s="268">
        <f t="shared" ref="W24:W31" si="6">IF(V24="R",T24,IF(V24="C",P24))</f>
        <v>146.3413103777022</v>
      </c>
    </row>
    <row r="25" spans="1:24" x14ac:dyDescent="0.2">
      <c r="A25" s="269">
        <v>25</v>
      </c>
      <c r="B25" s="270">
        <f t="shared" si="0"/>
        <v>298.14999999999998</v>
      </c>
      <c r="C25" s="271">
        <f t="shared" si="1"/>
        <v>9.2463765453630735</v>
      </c>
      <c r="D25" s="272">
        <v>8.43</v>
      </c>
      <c r="E25" s="273">
        <f t="shared" si="2"/>
        <v>0.13241455150071291</v>
      </c>
      <c r="F25" s="274">
        <f t="shared" si="3"/>
        <v>13.241455150071291</v>
      </c>
      <c r="G25" s="275" t="s">
        <v>105</v>
      </c>
      <c r="H25" s="276" t="s">
        <v>713</v>
      </c>
      <c r="I25" s="276" t="s">
        <v>54</v>
      </c>
      <c r="J25" s="277">
        <v>5</v>
      </c>
      <c r="K25" s="278"/>
      <c r="L25" s="278"/>
      <c r="M25" s="279">
        <f t="shared" si="4"/>
        <v>803.97420461877903</v>
      </c>
      <c r="N25" s="280"/>
      <c r="O25" s="281"/>
      <c r="P25" s="279">
        <f t="shared" si="5"/>
        <v>662.0727575035645</v>
      </c>
      <c r="Q25" s="280"/>
      <c r="R25" s="281"/>
      <c r="S25" s="277" t="s">
        <v>37</v>
      </c>
      <c r="T25" s="283" t="s">
        <v>37</v>
      </c>
      <c r="U25" s="304" t="s">
        <v>582</v>
      </c>
      <c r="V25" s="218" t="s">
        <v>712</v>
      </c>
      <c r="W25" s="285">
        <f t="shared" si="6"/>
        <v>662.0727575035645</v>
      </c>
    </row>
    <row r="26" spans="1:24" x14ac:dyDescent="0.2">
      <c r="A26" s="269">
        <v>25</v>
      </c>
      <c r="B26" s="270">
        <f t="shared" si="0"/>
        <v>298.14999999999998</v>
      </c>
      <c r="C26" s="271">
        <f t="shared" si="1"/>
        <v>9.2463765453630735</v>
      </c>
      <c r="D26" s="272">
        <v>8.0399999999999991</v>
      </c>
      <c r="E26" s="273">
        <f t="shared" si="2"/>
        <v>5.853652415108089E-2</v>
      </c>
      <c r="F26" s="274">
        <f t="shared" si="3"/>
        <v>5.8536524151080886</v>
      </c>
      <c r="G26" s="275" t="s">
        <v>108</v>
      </c>
      <c r="H26" s="276" t="s">
        <v>714</v>
      </c>
      <c r="I26" s="276" t="s">
        <v>54</v>
      </c>
      <c r="J26" s="305">
        <v>8.4</v>
      </c>
      <c r="K26" s="278"/>
      <c r="L26" s="278"/>
      <c r="M26" s="279">
        <f t="shared" si="4"/>
        <v>597.09387112213653</v>
      </c>
      <c r="N26" s="280"/>
      <c r="O26" s="281"/>
      <c r="P26" s="279">
        <f t="shared" si="5"/>
        <v>491.70680286907941</v>
      </c>
      <c r="Q26" s="280"/>
      <c r="R26" s="281"/>
      <c r="S26" s="277" t="s">
        <v>37</v>
      </c>
      <c r="T26" s="283" t="s">
        <v>37</v>
      </c>
      <c r="U26" s="304" t="s">
        <v>582</v>
      </c>
      <c r="V26" s="218" t="s">
        <v>712</v>
      </c>
      <c r="W26" s="285">
        <f t="shared" si="6"/>
        <v>491.70680286907941</v>
      </c>
    </row>
    <row r="27" spans="1:24" x14ac:dyDescent="0.2">
      <c r="A27" s="269">
        <v>25</v>
      </c>
      <c r="B27" s="270">
        <f t="shared" si="0"/>
        <v>298.14999999999998</v>
      </c>
      <c r="C27" s="271">
        <f t="shared" si="1"/>
        <v>9.2463765453630735</v>
      </c>
      <c r="D27" s="272">
        <v>8.43</v>
      </c>
      <c r="E27" s="273">
        <f t="shared" si="2"/>
        <v>0.13241455150071291</v>
      </c>
      <c r="F27" s="274">
        <f t="shared" si="3"/>
        <v>13.241455150071291</v>
      </c>
      <c r="G27" s="275" t="s">
        <v>110</v>
      </c>
      <c r="H27" s="276" t="s">
        <v>715</v>
      </c>
      <c r="I27" s="276" t="s">
        <v>54</v>
      </c>
      <c r="J27" s="277">
        <v>8.5</v>
      </c>
      <c r="K27" s="278"/>
      <c r="L27" s="278"/>
      <c r="M27" s="279">
        <f t="shared" si="4"/>
        <v>1366.7561478519242</v>
      </c>
      <c r="N27" s="280"/>
      <c r="O27" s="281"/>
      <c r="P27" s="279">
        <f t="shared" si="5"/>
        <v>1125.5236877560596</v>
      </c>
      <c r="Q27" s="280"/>
      <c r="R27" s="281"/>
      <c r="S27" s="277" t="s">
        <v>37</v>
      </c>
      <c r="T27" s="283" t="s">
        <v>37</v>
      </c>
      <c r="U27" s="304" t="s">
        <v>582</v>
      </c>
      <c r="V27" s="218" t="s">
        <v>712</v>
      </c>
      <c r="W27" s="285">
        <f t="shared" si="6"/>
        <v>1125.5236877560596</v>
      </c>
    </row>
    <row r="28" spans="1:24" x14ac:dyDescent="0.2">
      <c r="A28" s="269">
        <v>25</v>
      </c>
      <c r="B28" s="270">
        <f t="shared" si="0"/>
        <v>298.14999999999998</v>
      </c>
      <c r="C28" s="271">
        <f t="shared" si="1"/>
        <v>9.2463765453630735</v>
      </c>
      <c r="D28" s="272">
        <v>7.4</v>
      </c>
      <c r="E28" s="273">
        <f t="shared" si="2"/>
        <v>1.4043686528553149E-2</v>
      </c>
      <c r="F28" s="274">
        <f t="shared" si="3"/>
        <v>1.404368652855315</v>
      </c>
      <c r="G28" s="275" t="s">
        <v>111</v>
      </c>
      <c r="H28" s="276" t="s">
        <v>716</v>
      </c>
      <c r="I28" s="276" t="s">
        <v>112</v>
      </c>
      <c r="J28" s="277">
        <v>1.1000000000000001</v>
      </c>
      <c r="K28" s="278" t="s">
        <v>37</v>
      </c>
      <c r="L28" s="278" t="s">
        <v>37</v>
      </c>
      <c r="M28" s="279">
        <f t="shared" si="4"/>
        <v>18.759022685377616</v>
      </c>
      <c r="N28" s="280"/>
      <c r="O28" s="281"/>
      <c r="P28" s="306">
        <f t="shared" si="5"/>
        <v>15.448055181408467</v>
      </c>
      <c r="Q28" s="280"/>
      <c r="R28" s="281"/>
      <c r="S28" s="282">
        <f>T28*17/14</f>
        <v>20.642857142857142</v>
      </c>
      <c r="T28" s="283">
        <v>17</v>
      </c>
      <c r="U28" s="284">
        <f>M28/T28*100</f>
        <v>110.34719226692715</v>
      </c>
      <c r="V28" s="218" t="s">
        <v>706</v>
      </c>
      <c r="W28" s="307">
        <f t="shared" si="6"/>
        <v>17</v>
      </c>
      <c r="X28" s="308"/>
    </row>
    <row r="29" spans="1:24" x14ac:dyDescent="0.2">
      <c r="A29" s="269">
        <v>25</v>
      </c>
      <c r="B29" s="270">
        <f t="shared" si="0"/>
        <v>298.14999999999998</v>
      </c>
      <c r="C29" s="271">
        <f t="shared" si="1"/>
        <v>9.2463765453630735</v>
      </c>
      <c r="D29" s="272">
        <v>7.28</v>
      </c>
      <c r="E29" s="273">
        <f t="shared" si="2"/>
        <v>1.0689467893778589E-2</v>
      </c>
      <c r="F29" s="274">
        <f t="shared" si="3"/>
        <v>1.0689467893778588</v>
      </c>
      <c r="G29" s="275" t="s">
        <v>115</v>
      </c>
      <c r="H29" s="276" t="s">
        <v>716</v>
      </c>
      <c r="I29" s="276" t="s">
        <v>112</v>
      </c>
      <c r="J29" s="277">
        <v>13</v>
      </c>
      <c r="K29" s="278" t="s">
        <v>37</v>
      </c>
      <c r="L29" s="278" t="s">
        <v>37</v>
      </c>
      <c r="M29" s="279">
        <f t="shared" si="4"/>
        <v>168.7469127129589</v>
      </c>
      <c r="N29" s="280"/>
      <c r="O29" s="281"/>
      <c r="P29" s="306">
        <f t="shared" si="5"/>
        <v>138.96308261912165</v>
      </c>
      <c r="Q29" s="280"/>
      <c r="R29" s="281"/>
      <c r="S29" s="282">
        <f>T29*17/14</f>
        <v>133.57142857142858</v>
      </c>
      <c r="T29" s="283">
        <v>110</v>
      </c>
      <c r="U29" s="284">
        <f>M29/T29*100</f>
        <v>153.40628428450808</v>
      </c>
      <c r="V29" s="218" t="s">
        <v>706</v>
      </c>
      <c r="W29" s="285">
        <f t="shared" si="6"/>
        <v>110</v>
      </c>
      <c r="X29" s="308"/>
    </row>
    <row r="30" spans="1:24" x14ac:dyDescent="0.2">
      <c r="A30" s="269">
        <v>25</v>
      </c>
      <c r="B30" s="270">
        <f t="shared" si="0"/>
        <v>298.14999999999998</v>
      </c>
      <c r="C30" s="271">
        <f t="shared" si="1"/>
        <v>9.2463765453630735</v>
      </c>
      <c r="D30" s="272">
        <v>8.0399999999999991</v>
      </c>
      <c r="E30" s="273">
        <f t="shared" si="2"/>
        <v>5.853652415108089E-2</v>
      </c>
      <c r="F30" s="274">
        <f t="shared" si="3"/>
        <v>5.8536524151080886</v>
      </c>
      <c r="G30" s="275" t="s">
        <v>117</v>
      </c>
      <c r="H30" s="276" t="s">
        <v>716</v>
      </c>
      <c r="I30" s="276" t="s">
        <v>112</v>
      </c>
      <c r="J30" s="277">
        <v>13</v>
      </c>
      <c r="K30" s="278" t="s">
        <v>37</v>
      </c>
      <c r="L30" s="278" t="s">
        <v>37</v>
      </c>
      <c r="M30" s="279">
        <f t="shared" si="4"/>
        <v>924.07384816521142</v>
      </c>
      <c r="N30" s="280"/>
      <c r="O30" s="281"/>
      <c r="P30" s="306">
        <f t="shared" si="5"/>
        <v>760.97481396405158</v>
      </c>
      <c r="Q30" s="280"/>
      <c r="R30" s="281"/>
      <c r="S30" s="282">
        <f>T30*17/14</f>
        <v>1335.7142857142858</v>
      </c>
      <c r="T30" s="283">
        <v>1100</v>
      </c>
      <c r="U30" s="284">
        <f>M30/T30*100</f>
        <v>84.006713469564673</v>
      </c>
      <c r="V30" s="218" t="s">
        <v>706</v>
      </c>
      <c r="W30" s="285">
        <f t="shared" si="6"/>
        <v>1100</v>
      </c>
      <c r="X30" s="308"/>
    </row>
    <row r="31" spans="1:24" x14ac:dyDescent="0.2">
      <c r="A31" s="286">
        <v>25</v>
      </c>
      <c r="B31" s="287">
        <f t="shared" si="0"/>
        <v>298.14999999999998</v>
      </c>
      <c r="C31" s="288">
        <f t="shared" si="1"/>
        <v>9.2463765453630735</v>
      </c>
      <c r="D31" s="289">
        <v>8.43</v>
      </c>
      <c r="E31" s="290">
        <f t="shared" si="2"/>
        <v>0.13241455150071291</v>
      </c>
      <c r="F31" s="291">
        <f t="shared" si="3"/>
        <v>13.241455150071291</v>
      </c>
      <c r="G31" s="292" t="s">
        <v>118</v>
      </c>
      <c r="H31" s="226" t="s">
        <v>716</v>
      </c>
      <c r="I31" s="226" t="s">
        <v>112</v>
      </c>
      <c r="J31" s="293">
        <v>12</v>
      </c>
      <c r="K31" s="294" t="s">
        <v>37</v>
      </c>
      <c r="L31" s="294" t="s">
        <v>37</v>
      </c>
      <c r="M31" s="295">
        <f t="shared" si="4"/>
        <v>1929.5380910850697</v>
      </c>
      <c r="N31" s="296"/>
      <c r="O31" s="297"/>
      <c r="P31" s="309">
        <f t="shared" si="5"/>
        <v>1588.9746180085549</v>
      </c>
      <c r="Q31" s="296"/>
      <c r="R31" s="297"/>
      <c r="S31" s="298">
        <f>T31*17/14</f>
        <v>1821.4285714285713</v>
      </c>
      <c r="T31" s="299">
        <v>1500</v>
      </c>
      <c r="U31" s="300">
        <f>M31/T31*100</f>
        <v>128.63587273900464</v>
      </c>
      <c r="V31" s="301" t="s">
        <v>706</v>
      </c>
      <c r="W31" s="302">
        <f t="shared" si="6"/>
        <v>1500</v>
      </c>
      <c r="X31" s="308"/>
    </row>
    <row r="32" spans="1:24" x14ac:dyDescent="0.2">
      <c r="A32" s="252">
        <v>11.4</v>
      </c>
      <c r="B32" s="253">
        <f t="shared" si="0"/>
        <v>284.54999999999995</v>
      </c>
      <c r="C32" s="254">
        <f t="shared" si="1"/>
        <v>9.6839947952908112</v>
      </c>
      <c r="D32" s="255">
        <v>7.75</v>
      </c>
      <c r="E32" s="256">
        <f t="shared" si="2"/>
        <v>1.1507437130736889E-2</v>
      </c>
      <c r="F32" s="257">
        <f t="shared" si="3"/>
        <v>1.1507437130736888</v>
      </c>
      <c r="G32" s="275" t="s">
        <v>292</v>
      </c>
      <c r="H32" s="212" t="s">
        <v>717</v>
      </c>
      <c r="I32" s="212" t="s">
        <v>54</v>
      </c>
      <c r="J32" s="259">
        <v>7.44</v>
      </c>
      <c r="K32" s="260"/>
      <c r="L32" s="260"/>
      <c r="M32" s="261">
        <f t="shared" si="4"/>
        <v>103.96518792068302</v>
      </c>
      <c r="N32" s="262"/>
      <c r="O32" s="263"/>
      <c r="P32" s="310">
        <f t="shared" si="5"/>
        <v>85.615332252682464</v>
      </c>
      <c r="Q32" s="262"/>
      <c r="R32" s="262"/>
      <c r="S32" s="259" t="s">
        <v>37</v>
      </c>
      <c r="T32" s="265" t="s">
        <v>37</v>
      </c>
      <c r="U32" s="303" t="s">
        <v>582</v>
      </c>
      <c r="V32" s="267" t="s">
        <v>712</v>
      </c>
      <c r="W32" s="311">
        <f>IF(V32="R",T32,IF(V32="C",P32))</f>
        <v>85.615332252682464</v>
      </c>
    </row>
    <row r="33" spans="1:23" x14ac:dyDescent="0.2">
      <c r="A33" s="269">
        <v>11.4</v>
      </c>
      <c r="B33" s="270">
        <f t="shared" si="0"/>
        <v>284.54999999999995</v>
      </c>
      <c r="C33" s="271">
        <f t="shared" si="1"/>
        <v>9.6839947952908112</v>
      </c>
      <c r="D33" s="272">
        <v>7.75</v>
      </c>
      <c r="E33" s="273">
        <f t="shared" si="2"/>
        <v>1.1507437130736889E-2</v>
      </c>
      <c r="F33" s="274">
        <f t="shared" si="3"/>
        <v>1.1507437130736888</v>
      </c>
      <c r="G33" s="275" t="s">
        <v>298</v>
      </c>
      <c r="H33" s="276" t="s">
        <v>718</v>
      </c>
      <c r="I33" s="276" t="s">
        <v>54</v>
      </c>
      <c r="J33" s="277">
        <v>7.44</v>
      </c>
      <c r="K33" s="278"/>
      <c r="L33" s="278"/>
      <c r="M33" s="279">
        <f t="shared" si="4"/>
        <v>103.96518792068302</v>
      </c>
      <c r="N33" s="280"/>
      <c r="O33" s="281"/>
      <c r="P33" s="306">
        <f t="shared" si="5"/>
        <v>85.615332252682464</v>
      </c>
      <c r="Q33" s="280"/>
      <c r="R33" s="280"/>
      <c r="S33" s="277" t="s">
        <v>37</v>
      </c>
      <c r="T33" s="283" t="s">
        <v>37</v>
      </c>
      <c r="U33" s="304" t="s">
        <v>582</v>
      </c>
      <c r="V33" s="218" t="s">
        <v>712</v>
      </c>
      <c r="W33" s="307">
        <f>IF(V33="R",T33,IF(V33="C",P33))</f>
        <v>85.615332252682464</v>
      </c>
    </row>
    <row r="34" spans="1:23" x14ac:dyDescent="0.2">
      <c r="A34" s="269">
        <v>11.4</v>
      </c>
      <c r="B34" s="270">
        <f t="shared" si="0"/>
        <v>284.54999999999995</v>
      </c>
      <c r="C34" s="271">
        <f t="shared" si="1"/>
        <v>9.6839947952908112</v>
      </c>
      <c r="D34" s="272">
        <v>7.75</v>
      </c>
      <c r="E34" s="273">
        <f t="shared" si="2"/>
        <v>1.1507437130736889E-2</v>
      </c>
      <c r="F34" s="274">
        <f t="shared" si="3"/>
        <v>1.1507437130736888</v>
      </c>
      <c r="G34" s="275" t="s">
        <v>299</v>
      </c>
      <c r="H34" s="276" t="s">
        <v>719</v>
      </c>
      <c r="I34" s="276" t="s">
        <v>54</v>
      </c>
      <c r="J34" s="277">
        <v>7.44</v>
      </c>
      <c r="K34" s="278"/>
      <c r="L34" s="278"/>
      <c r="M34" s="279">
        <f t="shared" si="4"/>
        <v>103.96518792068302</v>
      </c>
      <c r="N34" s="280"/>
      <c r="O34" s="281"/>
      <c r="P34" s="306">
        <f t="shared" si="5"/>
        <v>85.615332252682464</v>
      </c>
      <c r="Q34" s="280"/>
      <c r="R34" s="280"/>
      <c r="S34" s="277" t="s">
        <v>37</v>
      </c>
      <c r="T34" s="283" t="s">
        <v>37</v>
      </c>
      <c r="U34" s="304" t="s">
        <v>582</v>
      </c>
      <c r="V34" s="218" t="s">
        <v>712</v>
      </c>
      <c r="W34" s="307">
        <f>IF(V34="R",T34,IF(V34="C",P34))</f>
        <v>85.615332252682464</v>
      </c>
    </row>
    <row r="35" spans="1:23" x14ac:dyDescent="0.2">
      <c r="A35" s="286">
        <v>11.4</v>
      </c>
      <c r="B35" s="287">
        <f t="shared" si="0"/>
        <v>284.54999999999995</v>
      </c>
      <c r="C35" s="288">
        <f t="shared" si="1"/>
        <v>9.6839947952908112</v>
      </c>
      <c r="D35" s="289">
        <v>7.75</v>
      </c>
      <c r="E35" s="290">
        <f t="shared" si="2"/>
        <v>1.1507437130736889E-2</v>
      </c>
      <c r="F35" s="291">
        <f t="shared" si="3"/>
        <v>1.1507437130736888</v>
      </c>
      <c r="G35" s="292" t="s">
        <v>307</v>
      </c>
      <c r="H35" s="226" t="s">
        <v>720</v>
      </c>
      <c r="I35" s="226" t="s">
        <v>54</v>
      </c>
      <c r="J35" s="293">
        <v>7.44</v>
      </c>
      <c r="K35" s="294"/>
      <c r="L35" s="294"/>
      <c r="M35" s="295">
        <f t="shared" si="4"/>
        <v>103.96518792068302</v>
      </c>
      <c r="N35" s="296"/>
      <c r="O35" s="297"/>
      <c r="P35" s="309">
        <f t="shared" si="5"/>
        <v>85.615332252682464</v>
      </c>
      <c r="Q35" s="296"/>
      <c r="R35" s="296"/>
      <c r="S35" s="293" t="s">
        <v>37</v>
      </c>
      <c r="T35" s="299" t="s">
        <v>37</v>
      </c>
      <c r="U35" s="312" t="s">
        <v>582</v>
      </c>
      <c r="V35" s="301" t="s">
        <v>712</v>
      </c>
      <c r="W35" s="313">
        <f>IF(V35="R",T35,IF(V35="C",P35))</f>
        <v>85.615332252682464</v>
      </c>
    </row>
    <row r="36" spans="1:23" ht="64" x14ac:dyDescent="0.2">
      <c r="A36" s="252"/>
      <c r="B36" s="253"/>
      <c r="C36" s="254"/>
      <c r="D36" s="255"/>
      <c r="E36" s="256"/>
      <c r="F36" s="257"/>
      <c r="G36" s="314"/>
      <c r="H36" s="315" t="s">
        <v>721</v>
      </c>
      <c r="I36" s="212"/>
      <c r="J36" s="259"/>
      <c r="K36" s="260"/>
      <c r="L36" s="260"/>
      <c r="M36" s="261"/>
      <c r="N36" s="316"/>
      <c r="O36" s="317"/>
      <c r="P36" s="261"/>
      <c r="Q36" s="316"/>
      <c r="R36" s="317"/>
      <c r="S36" s="259"/>
      <c r="T36" s="265"/>
      <c r="U36" s="303"/>
      <c r="V36" s="267"/>
      <c r="W36" s="311"/>
    </row>
    <row r="37" spans="1:23" x14ac:dyDescent="0.2">
      <c r="A37" s="269">
        <v>19.899999999999999</v>
      </c>
      <c r="B37" s="270">
        <f>273.15+A37</f>
        <v>293.04999999999995</v>
      </c>
      <c r="C37" s="271">
        <f t="shared" ref="C37:C55" si="7">0.09018+(2729.92/B37)</f>
        <v>9.4057234226241277</v>
      </c>
      <c r="D37" s="272">
        <v>8.24</v>
      </c>
      <c r="E37" s="273">
        <f t="shared" ref="E37:E55" si="8">1/(POWER(10,C37-D37)+1)</f>
        <v>6.3913494290797707E-2</v>
      </c>
      <c r="F37" s="274">
        <f t="shared" ref="F37:F55" si="9">E37*100</f>
        <v>6.3913494290797708</v>
      </c>
      <c r="G37" s="318" t="s">
        <v>336</v>
      </c>
      <c r="H37" s="276" t="s">
        <v>722</v>
      </c>
      <c r="I37" s="276" t="s">
        <v>54</v>
      </c>
      <c r="J37" s="277" t="s">
        <v>37</v>
      </c>
      <c r="K37" s="278"/>
      <c r="L37" s="278"/>
      <c r="M37" s="279"/>
      <c r="N37" s="319"/>
      <c r="O37" s="320"/>
      <c r="P37" s="306"/>
      <c r="Q37" s="319"/>
      <c r="R37" s="320"/>
      <c r="S37" s="282">
        <f>T37*17/14</f>
        <v>376.42857142857144</v>
      </c>
      <c r="T37" s="283">
        <v>310</v>
      </c>
      <c r="U37" s="304" t="s">
        <v>582</v>
      </c>
      <c r="V37" s="218" t="s">
        <v>706</v>
      </c>
      <c r="W37" s="285">
        <f t="shared" ref="W37:W56" si="10">IF(V37="R",T37,IF(V37="C",P37))</f>
        <v>310</v>
      </c>
    </row>
    <row r="38" spans="1:23" x14ac:dyDescent="0.2">
      <c r="A38" s="269">
        <v>19.899999999999999</v>
      </c>
      <c r="B38" s="270">
        <f t="shared" ref="B38:B50" si="11">273.15+A38</f>
        <v>293.04999999999995</v>
      </c>
      <c r="C38" s="271">
        <f t="shared" si="7"/>
        <v>9.4057234226241277</v>
      </c>
      <c r="D38" s="272">
        <v>8.24</v>
      </c>
      <c r="E38" s="273">
        <f t="shared" si="8"/>
        <v>6.3913494290797707E-2</v>
      </c>
      <c r="F38" s="274">
        <f t="shared" si="9"/>
        <v>6.3913494290797708</v>
      </c>
      <c r="G38" s="318" t="s">
        <v>345</v>
      </c>
      <c r="H38" s="276" t="s">
        <v>723</v>
      </c>
      <c r="I38" s="276" t="s">
        <v>54</v>
      </c>
      <c r="J38" s="277" t="s">
        <v>37</v>
      </c>
      <c r="K38" s="278"/>
      <c r="L38" s="278"/>
      <c r="M38" s="279"/>
      <c r="N38" s="319"/>
      <c r="O38" s="320"/>
      <c r="P38" s="306"/>
      <c r="Q38" s="319"/>
      <c r="R38" s="320"/>
      <c r="S38" s="282">
        <f t="shared" ref="S38:S56" si="12">T38*17/14</f>
        <v>376.42857142857144</v>
      </c>
      <c r="T38" s="283">
        <v>310</v>
      </c>
      <c r="U38" s="304" t="s">
        <v>582</v>
      </c>
      <c r="V38" s="218" t="s">
        <v>706</v>
      </c>
      <c r="W38" s="285">
        <f t="shared" si="10"/>
        <v>310</v>
      </c>
    </row>
    <row r="39" spans="1:23" x14ac:dyDescent="0.2">
      <c r="A39" s="269">
        <v>19.899999999999999</v>
      </c>
      <c r="B39" s="270">
        <f t="shared" si="11"/>
        <v>293.04999999999995</v>
      </c>
      <c r="C39" s="271">
        <f t="shared" si="7"/>
        <v>9.4057234226241277</v>
      </c>
      <c r="D39" s="272">
        <v>8.24</v>
      </c>
      <c r="E39" s="273">
        <f t="shared" si="8"/>
        <v>6.3913494290797707E-2</v>
      </c>
      <c r="F39" s="274">
        <f t="shared" si="9"/>
        <v>6.3913494290797708</v>
      </c>
      <c r="G39" s="318" t="s">
        <v>347</v>
      </c>
      <c r="H39" s="276" t="s">
        <v>724</v>
      </c>
      <c r="I39" s="276" t="s">
        <v>112</v>
      </c>
      <c r="J39" s="277" t="s">
        <v>37</v>
      </c>
      <c r="K39" s="278"/>
      <c r="L39" s="278"/>
      <c r="M39" s="279"/>
      <c r="N39" s="319"/>
      <c r="O39" s="320"/>
      <c r="P39" s="306"/>
      <c r="Q39" s="319"/>
      <c r="R39" s="320"/>
      <c r="S39" s="282">
        <f t="shared" si="12"/>
        <v>510</v>
      </c>
      <c r="T39" s="283">
        <v>420</v>
      </c>
      <c r="U39" s="304" t="s">
        <v>582</v>
      </c>
      <c r="V39" s="218" t="s">
        <v>706</v>
      </c>
      <c r="W39" s="285">
        <f t="shared" si="10"/>
        <v>420</v>
      </c>
    </row>
    <row r="40" spans="1:23" x14ac:dyDescent="0.2">
      <c r="A40" s="269">
        <v>19.899999999999999</v>
      </c>
      <c r="B40" s="270">
        <f t="shared" si="11"/>
        <v>293.04999999999995</v>
      </c>
      <c r="C40" s="271">
        <f t="shared" si="7"/>
        <v>9.4057234226241277</v>
      </c>
      <c r="D40" s="272">
        <v>8.24</v>
      </c>
      <c r="E40" s="273">
        <f t="shared" si="8"/>
        <v>6.3913494290797707E-2</v>
      </c>
      <c r="F40" s="274">
        <f t="shared" si="9"/>
        <v>6.3913494290797708</v>
      </c>
      <c r="G40" s="318" t="s">
        <v>363</v>
      </c>
      <c r="H40" s="276" t="s">
        <v>725</v>
      </c>
      <c r="I40" s="276" t="s">
        <v>54</v>
      </c>
      <c r="J40" s="277" t="s">
        <v>37</v>
      </c>
      <c r="K40" s="278"/>
      <c r="L40" s="278"/>
      <c r="M40" s="279"/>
      <c r="N40" s="319"/>
      <c r="O40" s="320"/>
      <c r="P40" s="306"/>
      <c r="Q40" s="319"/>
      <c r="R40" s="320"/>
      <c r="S40" s="282">
        <f t="shared" si="12"/>
        <v>1129.2857142857142</v>
      </c>
      <c r="T40" s="283">
        <v>930</v>
      </c>
      <c r="U40" s="304" t="s">
        <v>582</v>
      </c>
      <c r="V40" s="218" t="s">
        <v>706</v>
      </c>
      <c r="W40" s="285">
        <f t="shared" si="10"/>
        <v>930</v>
      </c>
    </row>
    <row r="41" spans="1:23" x14ac:dyDescent="0.2">
      <c r="A41" s="269">
        <v>19.899999999999999</v>
      </c>
      <c r="B41" s="270">
        <f t="shared" si="11"/>
        <v>293.04999999999995</v>
      </c>
      <c r="C41" s="271">
        <f t="shared" si="7"/>
        <v>9.4057234226241277</v>
      </c>
      <c r="D41" s="272">
        <v>8.24</v>
      </c>
      <c r="E41" s="273">
        <f t="shared" si="8"/>
        <v>6.3913494290797707E-2</v>
      </c>
      <c r="F41" s="274">
        <f t="shared" si="9"/>
        <v>6.3913494290797708</v>
      </c>
      <c r="G41" s="275" t="s">
        <v>367</v>
      </c>
      <c r="H41" s="276" t="s">
        <v>726</v>
      </c>
      <c r="I41" s="276" t="s">
        <v>112</v>
      </c>
      <c r="J41" s="277" t="s">
        <v>37</v>
      </c>
      <c r="K41" s="278"/>
      <c r="L41" s="278"/>
      <c r="M41" s="321"/>
      <c r="N41" s="280"/>
      <c r="O41" s="280"/>
      <c r="P41" s="321"/>
      <c r="Q41" s="280"/>
      <c r="R41" s="281"/>
      <c r="S41" s="282">
        <f t="shared" si="12"/>
        <v>837.85714285714289</v>
      </c>
      <c r="T41" s="283">
        <v>690</v>
      </c>
      <c r="U41" s="304" t="s">
        <v>582</v>
      </c>
      <c r="V41" s="218" t="s">
        <v>706</v>
      </c>
      <c r="W41" s="285">
        <f t="shared" si="10"/>
        <v>690</v>
      </c>
    </row>
    <row r="42" spans="1:23" x14ac:dyDescent="0.2">
      <c r="A42" s="269">
        <v>19.899999999999999</v>
      </c>
      <c r="B42" s="270">
        <f t="shared" si="11"/>
        <v>293.04999999999995</v>
      </c>
      <c r="C42" s="271">
        <f t="shared" si="7"/>
        <v>9.4057234226241277</v>
      </c>
      <c r="D42" s="272">
        <v>8.24</v>
      </c>
      <c r="E42" s="273">
        <f t="shared" si="8"/>
        <v>6.3913494290797707E-2</v>
      </c>
      <c r="F42" s="274">
        <f t="shared" si="9"/>
        <v>6.3913494290797708</v>
      </c>
      <c r="G42" s="275" t="s">
        <v>368</v>
      </c>
      <c r="H42" s="276" t="s">
        <v>727</v>
      </c>
      <c r="I42" s="276" t="s">
        <v>112</v>
      </c>
      <c r="J42" s="277" t="s">
        <v>37</v>
      </c>
      <c r="K42" s="278"/>
      <c r="L42" s="278"/>
      <c r="M42" s="321"/>
      <c r="N42" s="280"/>
      <c r="O42" s="280"/>
      <c r="P42" s="321"/>
      <c r="Q42" s="280"/>
      <c r="R42" s="281"/>
      <c r="S42" s="282">
        <f t="shared" si="12"/>
        <v>837.85714285714289</v>
      </c>
      <c r="T42" s="283">
        <v>690</v>
      </c>
      <c r="U42" s="304" t="s">
        <v>582</v>
      </c>
      <c r="V42" s="218" t="s">
        <v>706</v>
      </c>
      <c r="W42" s="285">
        <f t="shared" si="10"/>
        <v>690</v>
      </c>
    </row>
    <row r="43" spans="1:23" x14ac:dyDescent="0.2">
      <c r="A43" s="269">
        <v>19.899999999999999</v>
      </c>
      <c r="B43" s="270">
        <f t="shared" si="11"/>
        <v>293.04999999999995</v>
      </c>
      <c r="C43" s="271">
        <f t="shared" si="7"/>
        <v>9.4057234226241277</v>
      </c>
      <c r="D43" s="272">
        <v>8.24</v>
      </c>
      <c r="E43" s="273">
        <f t="shared" si="8"/>
        <v>6.3913494290797707E-2</v>
      </c>
      <c r="F43" s="274">
        <f t="shared" si="9"/>
        <v>6.3913494290797708</v>
      </c>
      <c r="G43" s="275" t="s">
        <v>369</v>
      </c>
      <c r="H43" s="276" t="s">
        <v>728</v>
      </c>
      <c r="I43" s="276" t="s">
        <v>370</v>
      </c>
      <c r="J43" s="277" t="s">
        <v>37</v>
      </c>
      <c r="K43" s="278"/>
      <c r="L43" s="278"/>
      <c r="M43" s="321"/>
      <c r="N43" s="280"/>
      <c r="O43" s="280"/>
      <c r="P43" s="322"/>
      <c r="Q43" s="280"/>
      <c r="R43" s="281"/>
      <c r="S43" s="282">
        <f t="shared" si="12"/>
        <v>157.85714285714286</v>
      </c>
      <c r="T43" s="283">
        <v>130</v>
      </c>
      <c r="U43" s="304" t="s">
        <v>582</v>
      </c>
      <c r="V43" s="218" t="s">
        <v>706</v>
      </c>
      <c r="W43" s="285">
        <f t="shared" si="10"/>
        <v>130</v>
      </c>
    </row>
    <row r="44" spans="1:23" x14ac:dyDescent="0.2">
      <c r="A44" s="269">
        <v>19.899999999999999</v>
      </c>
      <c r="B44" s="270">
        <f t="shared" si="11"/>
        <v>293.04999999999995</v>
      </c>
      <c r="C44" s="271">
        <f t="shared" si="7"/>
        <v>9.4057234226241277</v>
      </c>
      <c r="D44" s="272">
        <v>8.24</v>
      </c>
      <c r="E44" s="273">
        <f t="shared" si="8"/>
        <v>6.3913494290797707E-2</v>
      </c>
      <c r="F44" s="274">
        <f t="shared" si="9"/>
        <v>6.3913494290797708</v>
      </c>
      <c r="G44" s="275" t="s">
        <v>371</v>
      </c>
      <c r="H44" s="276" t="s">
        <v>722</v>
      </c>
      <c r="I44" s="276" t="s">
        <v>54</v>
      </c>
      <c r="J44" s="277" t="s">
        <v>37</v>
      </c>
      <c r="K44" s="278"/>
      <c r="L44" s="278"/>
      <c r="M44" s="321"/>
      <c r="N44" s="280"/>
      <c r="O44" s="280"/>
      <c r="P44" s="322"/>
      <c r="Q44" s="280"/>
      <c r="R44" s="281"/>
      <c r="S44" s="282">
        <f t="shared" si="12"/>
        <v>655.71428571428567</v>
      </c>
      <c r="T44" s="283">
        <v>540</v>
      </c>
      <c r="U44" s="304" t="s">
        <v>582</v>
      </c>
      <c r="V44" s="218" t="s">
        <v>706</v>
      </c>
      <c r="W44" s="285">
        <f t="shared" si="10"/>
        <v>540</v>
      </c>
    </row>
    <row r="45" spans="1:23" x14ac:dyDescent="0.2">
      <c r="A45" s="269">
        <v>19.899999999999999</v>
      </c>
      <c r="B45" s="270">
        <f t="shared" si="11"/>
        <v>293.04999999999995</v>
      </c>
      <c r="C45" s="271">
        <f t="shared" si="7"/>
        <v>9.4057234226241277</v>
      </c>
      <c r="D45" s="272">
        <v>8.24</v>
      </c>
      <c r="E45" s="273">
        <f t="shared" si="8"/>
        <v>6.3913494290797707E-2</v>
      </c>
      <c r="F45" s="274">
        <f t="shared" si="9"/>
        <v>6.3913494290797708</v>
      </c>
      <c r="G45" s="275" t="s">
        <v>374</v>
      </c>
      <c r="H45" s="276" t="s">
        <v>723</v>
      </c>
      <c r="I45" s="276" t="s">
        <v>54</v>
      </c>
      <c r="J45" s="277" t="s">
        <v>37</v>
      </c>
      <c r="K45" s="278"/>
      <c r="L45" s="278"/>
      <c r="M45" s="321"/>
      <c r="N45" s="280"/>
      <c r="O45" s="280"/>
      <c r="P45" s="322"/>
      <c r="Q45" s="280"/>
      <c r="R45" s="281"/>
      <c r="S45" s="282">
        <f t="shared" si="12"/>
        <v>655.71428571428567</v>
      </c>
      <c r="T45" s="283">
        <v>540</v>
      </c>
      <c r="U45" s="304" t="s">
        <v>582</v>
      </c>
      <c r="V45" s="218" t="s">
        <v>706</v>
      </c>
      <c r="W45" s="285">
        <f t="shared" si="10"/>
        <v>540</v>
      </c>
    </row>
    <row r="46" spans="1:23" x14ac:dyDescent="0.2">
      <c r="A46" s="269">
        <v>19.899999999999999</v>
      </c>
      <c r="B46" s="270">
        <f t="shared" si="11"/>
        <v>293.04999999999995</v>
      </c>
      <c r="C46" s="271">
        <f t="shared" si="7"/>
        <v>9.4057234226241277</v>
      </c>
      <c r="D46" s="272">
        <v>8.24</v>
      </c>
      <c r="E46" s="273">
        <f t="shared" si="8"/>
        <v>6.3913494290797707E-2</v>
      </c>
      <c r="F46" s="274">
        <f t="shared" si="9"/>
        <v>6.3913494290797708</v>
      </c>
      <c r="G46" s="275" t="s">
        <v>375</v>
      </c>
      <c r="H46" s="276" t="s">
        <v>724</v>
      </c>
      <c r="I46" s="276" t="s">
        <v>112</v>
      </c>
      <c r="J46" s="277" t="s">
        <v>37</v>
      </c>
      <c r="K46" s="278"/>
      <c r="L46" s="278"/>
      <c r="M46" s="321"/>
      <c r="N46" s="280"/>
      <c r="O46" s="280"/>
      <c r="P46" s="322"/>
      <c r="Q46" s="280"/>
      <c r="R46" s="281"/>
      <c r="S46" s="282">
        <f t="shared" si="12"/>
        <v>740.71428571428567</v>
      </c>
      <c r="T46" s="283">
        <v>610</v>
      </c>
      <c r="U46" s="304" t="s">
        <v>582</v>
      </c>
      <c r="V46" s="218" t="s">
        <v>706</v>
      </c>
      <c r="W46" s="285">
        <f t="shared" si="10"/>
        <v>610</v>
      </c>
    </row>
    <row r="47" spans="1:23" x14ac:dyDescent="0.2">
      <c r="A47" s="269">
        <v>19.899999999999999</v>
      </c>
      <c r="B47" s="270">
        <f t="shared" si="11"/>
        <v>293.04999999999995</v>
      </c>
      <c r="C47" s="271">
        <f t="shared" si="7"/>
        <v>9.4057234226241277</v>
      </c>
      <c r="D47" s="272">
        <v>8.24</v>
      </c>
      <c r="E47" s="273">
        <f t="shared" si="8"/>
        <v>6.3913494290797707E-2</v>
      </c>
      <c r="F47" s="274">
        <f t="shared" si="9"/>
        <v>6.3913494290797708</v>
      </c>
      <c r="G47" s="275" t="s">
        <v>376</v>
      </c>
      <c r="H47" s="276" t="s">
        <v>725</v>
      </c>
      <c r="I47" s="276" t="s">
        <v>54</v>
      </c>
      <c r="J47" s="277" t="s">
        <v>37</v>
      </c>
      <c r="K47" s="278"/>
      <c r="L47" s="278"/>
      <c r="M47" s="321"/>
      <c r="N47" s="280"/>
      <c r="O47" s="280"/>
      <c r="P47" s="322"/>
      <c r="Q47" s="280"/>
      <c r="R47" s="281"/>
      <c r="S47" s="282">
        <f t="shared" si="12"/>
        <v>352.14285714285717</v>
      </c>
      <c r="T47" s="283">
        <v>290</v>
      </c>
      <c r="U47" s="304" t="s">
        <v>582</v>
      </c>
      <c r="V47" s="218" t="s">
        <v>706</v>
      </c>
      <c r="W47" s="285">
        <f t="shared" si="10"/>
        <v>290</v>
      </c>
    </row>
    <row r="48" spans="1:23" x14ac:dyDescent="0.2">
      <c r="A48" s="269">
        <v>19.899999999999999</v>
      </c>
      <c r="B48" s="270">
        <f t="shared" si="11"/>
        <v>293.04999999999995</v>
      </c>
      <c r="C48" s="271">
        <f t="shared" si="7"/>
        <v>9.4057234226241277</v>
      </c>
      <c r="D48" s="272">
        <v>8.24</v>
      </c>
      <c r="E48" s="273">
        <f t="shared" si="8"/>
        <v>6.3913494290797707E-2</v>
      </c>
      <c r="F48" s="274">
        <f t="shared" si="9"/>
        <v>6.3913494290797708</v>
      </c>
      <c r="G48" s="275" t="s">
        <v>377</v>
      </c>
      <c r="H48" s="276" t="s">
        <v>726</v>
      </c>
      <c r="I48" s="276" t="s">
        <v>112</v>
      </c>
      <c r="J48" s="277" t="s">
        <v>37</v>
      </c>
      <c r="K48" s="278"/>
      <c r="L48" s="278"/>
      <c r="M48" s="321"/>
      <c r="N48" s="280"/>
      <c r="O48" s="280"/>
      <c r="P48" s="322"/>
      <c r="Q48" s="280"/>
      <c r="R48" s="281"/>
      <c r="S48" s="282">
        <f t="shared" si="12"/>
        <v>910.71428571428567</v>
      </c>
      <c r="T48" s="283">
        <v>750</v>
      </c>
      <c r="U48" s="304" t="s">
        <v>582</v>
      </c>
      <c r="V48" s="218" t="s">
        <v>706</v>
      </c>
      <c r="W48" s="285">
        <f t="shared" si="10"/>
        <v>750</v>
      </c>
    </row>
    <row r="49" spans="1:23" x14ac:dyDescent="0.2">
      <c r="A49" s="269">
        <v>19.899999999999999</v>
      </c>
      <c r="B49" s="270">
        <f t="shared" si="11"/>
        <v>293.04999999999995</v>
      </c>
      <c r="C49" s="271">
        <f t="shared" si="7"/>
        <v>9.4057234226241277</v>
      </c>
      <c r="D49" s="272">
        <v>8.24</v>
      </c>
      <c r="E49" s="273">
        <f t="shared" si="8"/>
        <v>6.3913494290797707E-2</v>
      </c>
      <c r="F49" s="274">
        <f t="shared" si="9"/>
        <v>6.3913494290797708</v>
      </c>
      <c r="G49" s="275" t="s">
        <v>378</v>
      </c>
      <c r="H49" s="276" t="s">
        <v>727</v>
      </c>
      <c r="I49" s="276" t="s">
        <v>112</v>
      </c>
      <c r="J49" s="277" t="s">
        <v>37</v>
      </c>
      <c r="K49" s="278"/>
      <c r="L49" s="278"/>
      <c r="M49" s="321"/>
      <c r="N49" s="280"/>
      <c r="O49" s="280"/>
      <c r="P49" s="322"/>
      <c r="Q49" s="280"/>
      <c r="R49" s="281"/>
      <c r="S49" s="282">
        <f t="shared" si="12"/>
        <v>922.85714285714289</v>
      </c>
      <c r="T49" s="283">
        <v>760</v>
      </c>
      <c r="U49" s="304" t="s">
        <v>582</v>
      </c>
      <c r="V49" s="218" t="s">
        <v>706</v>
      </c>
      <c r="W49" s="285">
        <f t="shared" si="10"/>
        <v>760</v>
      </c>
    </row>
    <row r="50" spans="1:23" x14ac:dyDescent="0.2">
      <c r="A50" s="269">
        <v>19.899999999999999</v>
      </c>
      <c r="B50" s="270">
        <f t="shared" si="11"/>
        <v>293.04999999999995</v>
      </c>
      <c r="C50" s="271">
        <f t="shared" si="7"/>
        <v>9.4057234226241277</v>
      </c>
      <c r="D50" s="272">
        <v>8.24</v>
      </c>
      <c r="E50" s="273">
        <f t="shared" si="8"/>
        <v>6.3913494290797707E-2</v>
      </c>
      <c r="F50" s="274">
        <f t="shared" si="9"/>
        <v>6.3913494290797708</v>
      </c>
      <c r="G50" s="275" t="s">
        <v>379</v>
      </c>
      <c r="H50" s="276" t="s">
        <v>728</v>
      </c>
      <c r="I50" s="276" t="s">
        <v>370</v>
      </c>
      <c r="J50" s="277" t="s">
        <v>37</v>
      </c>
      <c r="K50" s="278"/>
      <c r="L50" s="278"/>
      <c r="M50" s="321"/>
      <c r="N50" s="280"/>
      <c r="O50" s="280"/>
      <c r="P50" s="322"/>
      <c r="Q50" s="280"/>
      <c r="R50" s="281"/>
      <c r="S50" s="282">
        <f t="shared" si="12"/>
        <v>461.42857142857144</v>
      </c>
      <c r="T50" s="283">
        <v>380</v>
      </c>
      <c r="U50" s="304" t="s">
        <v>582</v>
      </c>
      <c r="V50" s="218" t="s">
        <v>706</v>
      </c>
      <c r="W50" s="285">
        <f t="shared" si="10"/>
        <v>380</v>
      </c>
    </row>
    <row r="51" spans="1:23" x14ac:dyDescent="0.2">
      <c r="A51" s="269">
        <v>19.899999999999999</v>
      </c>
      <c r="B51" s="270">
        <f>273.15+A51</f>
        <v>293.04999999999995</v>
      </c>
      <c r="C51" s="271">
        <f t="shared" si="7"/>
        <v>9.4057234226241277</v>
      </c>
      <c r="D51" s="272">
        <v>8.24</v>
      </c>
      <c r="E51" s="273">
        <f t="shared" si="8"/>
        <v>6.3913494290797707E-2</v>
      </c>
      <c r="F51" s="274">
        <f t="shared" si="9"/>
        <v>6.3913494290797708</v>
      </c>
      <c r="G51" s="275" t="s">
        <v>380</v>
      </c>
      <c r="H51" s="276" t="s">
        <v>722</v>
      </c>
      <c r="I51" s="276" t="s">
        <v>54</v>
      </c>
      <c r="J51" s="277" t="s">
        <v>37</v>
      </c>
      <c r="K51" s="278"/>
      <c r="L51" s="278"/>
      <c r="M51" s="321"/>
      <c r="N51" s="280"/>
      <c r="O51" s="280"/>
      <c r="P51" s="322"/>
      <c r="Q51" s="280"/>
      <c r="R51" s="281"/>
      <c r="S51" s="282">
        <f t="shared" si="12"/>
        <v>643.57142857142856</v>
      </c>
      <c r="T51" s="283">
        <v>530</v>
      </c>
      <c r="U51" s="304" t="s">
        <v>582</v>
      </c>
      <c r="V51" s="218" t="s">
        <v>706</v>
      </c>
      <c r="W51" s="285">
        <f t="shared" si="10"/>
        <v>530</v>
      </c>
    </row>
    <row r="52" spans="1:23" x14ac:dyDescent="0.2">
      <c r="A52" s="269">
        <v>19.899999999999999</v>
      </c>
      <c r="B52" s="270">
        <f>273.15+A52</f>
        <v>293.04999999999995</v>
      </c>
      <c r="C52" s="271">
        <f t="shared" si="7"/>
        <v>9.4057234226241277</v>
      </c>
      <c r="D52" s="272">
        <v>8.24</v>
      </c>
      <c r="E52" s="273">
        <f t="shared" si="8"/>
        <v>6.3913494290797707E-2</v>
      </c>
      <c r="F52" s="274">
        <f t="shared" si="9"/>
        <v>6.3913494290797708</v>
      </c>
      <c r="G52" s="275" t="s">
        <v>383</v>
      </c>
      <c r="H52" s="276" t="s">
        <v>723</v>
      </c>
      <c r="I52" s="276" t="s">
        <v>54</v>
      </c>
      <c r="J52" s="277" t="s">
        <v>37</v>
      </c>
      <c r="K52" s="278"/>
      <c r="L52" s="278"/>
      <c r="M52" s="321"/>
      <c r="N52" s="280"/>
      <c r="O52" s="280"/>
      <c r="P52" s="322"/>
      <c r="Q52" s="280"/>
      <c r="R52" s="281"/>
      <c r="S52" s="282">
        <f t="shared" si="12"/>
        <v>643.57142857142856</v>
      </c>
      <c r="T52" s="283">
        <v>530</v>
      </c>
      <c r="U52" s="304" t="s">
        <v>582</v>
      </c>
      <c r="V52" s="218" t="s">
        <v>706</v>
      </c>
      <c r="W52" s="285">
        <f t="shared" si="10"/>
        <v>530</v>
      </c>
    </row>
    <row r="53" spans="1:23" x14ac:dyDescent="0.2">
      <c r="A53" s="269">
        <v>19.899999999999999</v>
      </c>
      <c r="B53" s="270">
        <f>273.15+A53</f>
        <v>293.04999999999995</v>
      </c>
      <c r="C53" s="271">
        <f t="shared" si="7"/>
        <v>9.4057234226241277</v>
      </c>
      <c r="D53" s="272">
        <v>8.24</v>
      </c>
      <c r="E53" s="273">
        <f t="shared" si="8"/>
        <v>6.3913494290797707E-2</v>
      </c>
      <c r="F53" s="274">
        <f t="shared" si="9"/>
        <v>6.3913494290797708</v>
      </c>
      <c r="G53" s="275" t="s">
        <v>384</v>
      </c>
      <c r="H53" s="276" t="s">
        <v>724</v>
      </c>
      <c r="I53" s="276" t="s">
        <v>112</v>
      </c>
      <c r="J53" s="277" t="s">
        <v>37</v>
      </c>
      <c r="K53" s="278"/>
      <c r="L53" s="278"/>
      <c r="M53" s="321"/>
      <c r="N53" s="280"/>
      <c r="O53" s="280"/>
      <c r="P53" s="322"/>
      <c r="Q53" s="280"/>
      <c r="R53" s="281"/>
      <c r="S53" s="282">
        <f t="shared" si="12"/>
        <v>461.42857142857144</v>
      </c>
      <c r="T53" s="283">
        <v>380</v>
      </c>
      <c r="U53" s="304" t="s">
        <v>582</v>
      </c>
      <c r="V53" s="218" t="s">
        <v>706</v>
      </c>
      <c r="W53" s="285">
        <f t="shared" si="10"/>
        <v>380</v>
      </c>
    </row>
    <row r="54" spans="1:23" x14ac:dyDescent="0.2">
      <c r="A54" s="269">
        <v>19.899999999999999</v>
      </c>
      <c r="B54" s="270">
        <f>273.15+A54</f>
        <v>293.04999999999995</v>
      </c>
      <c r="C54" s="271">
        <f t="shared" si="7"/>
        <v>9.4057234226241277</v>
      </c>
      <c r="D54" s="272">
        <v>8.24</v>
      </c>
      <c r="E54" s="273">
        <f t="shared" si="8"/>
        <v>6.3913494290797707E-2</v>
      </c>
      <c r="F54" s="274">
        <f t="shared" si="9"/>
        <v>6.3913494290797708</v>
      </c>
      <c r="G54" s="275" t="s">
        <v>385</v>
      </c>
      <c r="H54" s="276" t="s">
        <v>726</v>
      </c>
      <c r="I54" s="276" t="s">
        <v>112</v>
      </c>
      <c r="J54" s="277" t="s">
        <v>37</v>
      </c>
      <c r="K54" s="278"/>
      <c r="L54" s="278"/>
      <c r="M54" s="321"/>
      <c r="N54" s="280"/>
      <c r="O54" s="280"/>
      <c r="P54" s="322"/>
      <c r="Q54" s="280"/>
      <c r="R54" s="281"/>
      <c r="S54" s="282">
        <f t="shared" si="12"/>
        <v>813.57142857142856</v>
      </c>
      <c r="T54" s="283">
        <v>670</v>
      </c>
      <c r="U54" s="304" t="s">
        <v>582</v>
      </c>
      <c r="V54" s="218" t="s">
        <v>706</v>
      </c>
      <c r="W54" s="285">
        <f t="shared" si="10"/>
        <v>670</v>
      </c>
    </row>
    <row r="55" spans="1:23" x14ac:dyDescent="0.2">
      <c r="A55" s="269">
        <v>19.899999999999999</v>
      </c>
      <c r="B55" s="270">
        <f>273.15+A55</f>
        <v>293.04999999999995</v>
      </c>
      <c r="C55" s="271">
        <f t="shared" si="7"/>
        <v>9.4057234226241277</v>
      </c>
      <c r="D55" s="272">
        <v>8.24</v>
      </c>
      <c r="E55" s="273">
        <f t="shared" si="8"/>
        <v>6.3913494290797707E-2</v>
      </c>
      <c r="F55" s="274">
        <f t="shared" si="9"/>
        <v>6.3913494290797708</v>
      </c>
      <c r="G55" s="275" t="s">
        <v>386</v>
      </c>
      <c r="H55" s="276" t="s">
        <v>727</v>
      </c>
      <c r="I55" s="276" t="s">
        <v>112</v>
      </c>
      <c r="J55" s="277" t="s">
        <v>37</v>
      </c>
      <c r="K55" s="278"/>
      <c r="L55" s="278"/>
      <c r="M55" s="321"/>
      <c r="N55" s="280"/>
      <c r="O55" s="280"/>
      <c r="P55" s="322"/>
      <c r="Q55" s="280"/>
      <c r="R55" s="281"/>
      <c r="S55" s="282">
        <f t="shared" si="12"/>
        <v>655.71428571428567</v>
      </c>
      <c r="T55" s="283">
        <v>540</v>
      </c>
      <c r="U55" s="304" t="s">
        <v>582</v>
      </c>
      <c r="V55" s="218" t="s">
        <v>706</v>
      </c>
      <c r="W55" s="285">
        <f t="shared" si="10"/>
        <v>540</v>
      </c>
    </row>
    <row r="56" spans="1:23" x14ac:dyDescent="0.2">
      <c r="A56" s="286">
        <v>19.899999999999999</v>
      </c>
      <c r="B56" s="287">
        <v>293.04999999999995</v>
      </c>
      <c r="C56" s="288">
        <v>9.4057234226241277</v>
      </c>
      <c r="D56" s="289">
        <v>8.24</v>
      </c>
      <c r="E56" s="290">
        <v>6.3913494290797707E-2</v>
      </c>
      <c r="F56" s="291">
        <v>6.3913494290797708</v>
      </c>
      <c r="G56" s="292" t="s">
        <v>387</v>
      </c>
      <c r="H56" s="226" t="s">
        <v>728</v>
      </c>
      <c r="I56" s="226" t="s">
        <v>370</v>
      </c>
      <c r="J56" s="293" t="s">
        <v>37</v>
      </c>
      <c r="K56" s="294"/>
      <c r="L56" s="294"/>
      <c r="M56" s="321"/>
      <c r="N56" s="296"/>
      <c r="O56" s="296"/>
      <c r="P56" s="322"/>
      <c r="Q56" s="296"/>
      <c r="R56" s="297"/>
      <c r="S56" s="298">
        <f t="shared" si="12"/>
        <v>303.57142857142856</v>
      </c>
      <c r="T56" s="299">
        <v>250</v>
      </c>
      <c r="U56" s="312" t="s">
        <v>582</v>
      </c>
      <c r="V56" s="218" t="s">
        <v>706</v>
      </c>
      <c r="W56" s="302">
        <f t="shared" si="10"/>
        <v>250</v>
      </c>
    </row>
    <row r="57" spans="1:23" ht="17" x14ac:dyDescent="0.25">
      <c r="A57" s="252"/>
      <c r="B57" s="253"/>
      <c r="C57" s="254"/>
      <c r="D57" s="255"/>
      <c r="E57" s="256"/>
      <c r="F57" s="257"/>
      <c r="G57" s="314" t="s">
        <v>70</v>
      </c>
      <c r="H57" s="212" t="s">
        <v>729</v>
      </c>
      <c r="I57" s="212" t="s">
        <v>54</v>
      </c>
      <c r="J57" s="323" t="s">
        <v>730</v>
      </c>
      <c r="K57" s="260"/>
      <c r="L57" s="260"/>
      <c r="M57" s="261"/>
      <c r="N57" s="316"/>
      <c r="O57" s="324"/>
      <c r="P57" s="310"/>
      <c r="Q57" s="316"/>
      <c r="R57" s="317"/>
      <c r="S57" s="259"/>
      <c r="T57" s="265"/>
      <c r="U57" s="303"/>
      <c r="V57" s="267"/>
      <c r="W57" s="311"/>
    </row>
    <row r="58" spans="1:23" x14ac:dyDescent="0.2">
      <c r="A58" s="286">
        <v>23</v>
      </c>
      <c r="B58" s="287">
        <f t="shared" ref="B58:B121" si="13">273.15+A58</f>
        <v>296.14999999999998</v>
      </c>
      <c r="C58" s="288">
        <f t="shared" ref="C58:C121" si="14">0.09018+(2729.92/B58)</f>
        <v>9.3082114030052345</v>
      </c>
      <c r="D58" s="289">
        <v>7.9</v>
      </c>
      <c r="E58" s="290">
        <f t="shared" ref="E58:E121" si="15">1/(POWER(10,C58-D58)+1)</f>
        <v>3.7596364534488946E-2</v>
      </c>
      <c r="F58" s="291">
        <f t="shared" ref="F58:F121" si="16">E58*100</f>
        <v>3.7596364534488949</v>
      </c>
      <c r="G58" s="325" t="s">
        <v>70</v>
      </c>
      <c r="H58" s="226" t="s">
        <v>731</v>
      </c>
      <c r="I58" s="226" t="s">
        <v>54</v>
      </c>
      <c r="J58" s="293">
        <v>42</v>
      </c>
      <c r="K58" s="294" t="s">
        <v>582</v>
      </c>
      <c r="L58" s="294" t="s">
        <v>582</v>
      </c>
      <c r="M58" s="295">
        <f>P58/0.8235</f>
        <v>1917.4830727972505</v>
      </c>
      <c r="N58" s="326"/>
      <c r="O58" s="327"/>
      <c r="P58" s="295">
        <f>J58*(F58/100)*1000</f>
        <v>1579.0473104485359</v>
      </c>
      <c r="Q58" s="326"/>
      <c r="R58" s="328"/>
      <c r="S58" s="277" t="s">
        <v>37</v>
      </c>
      <c r="T58" s="299" t="s">
        <v>37</v>
      </c>
      <c r="U58" s="312" t="s">
        <v>582</v>
      </c>
      <c r="V58" s="301" t="s">
        <v>712</v>
      </c>
      <c r="W58" s="302">
        <f t="shared" ref="W58:W121" si="17">IF(V58="R",T58,IF(V58="C",P58))</f>
        <v>1579.0473104485359</v>
      </c>
    </row>
    <row r="59" spans="1:23" x14ac:dyDescent="0.2">
      <c r="A59" s="252">
        <v>8.6</v>
      </c>
      <c r="B59" s="253">
        <f t="shared" si="13"/>
        <v>281.75</v>
      </c>
      <c r="C59" s="254">
        <f t="shared" si="14"/>
        <v>9.7793370541259979</v>
      </c>
      <c r="D59" s="255">
        <v>7.6</v>
      </c>
      <c r="E59" s="256">
        <f t="shared" si="15"/>
        <v>6.5735303645090169E-3</v>
      </c>
      <c r="F59" s="257">
        <f t="shared" si="16"/>
        <v>0.65735303645090171</v>
      </c>
      <c r="G59" s="314" t="s">
        <v>732</v>
      </c>
      <c r="H59" s="212" t="s">
        <v>733</v>
      </c>
      <c r="I59" s="212" t="s">
        <v>54</v>
      </c>
      <c r="J59" s="329" t="s">
        <v>734</v>
      </c>
      <c r="K59" s="260" t="s">
        <v>582</v>
      </c>
      <c r="L59" s="260" t="s">
        <v>582</v>
      </c>
      <c r="M59" s="330" t="s">
        <v>735</v>
      </c>
      <c r="N59" s="331"/>
      <c r="O59" s="332"/>
      <c r="P59" s="333" t="s">
        <v>736</v>
      </c>
      <c r="Q59" s="331"/>
      <c r="R59" s="331"/>
      <c r="S59" s="259" t="s">
        <v>37</v>
      </c>
      <c r="T59" s="265" t="s">
        <v>37</v>
      </c>
      <c r="U59" s="303" t="s">
        <v>582</v>
      </c>
      <c r="V59" s="267" t="s">
        <v>712</v>
      </c>
      <c r="W59" s="311" t="str">
        <f t="shared" si="17"/>
        <v>values not used (≥412)</v>
      </c>
    </row>
    <row r="60" spans="1:23" x14ac:dyDescent="0.2">
      <c r="A60" s="269">
        <v>8.6</v>
      </c>
      <c r="B60" s="270">
        <f t="shared" si="13"/>
        <v>281.75</v>
      </c>
      <c r="C60" s="271">
        <f t="shared" si="14"/>
        <v>9.7793370541259979</v>
      </c>
      <c r="D60" s="272">
        <v>7.6</v>
      </c>
      <c r="E60" s="273">
        <f t="shared" si="15"/>
        <v>6.5735303645090169E-3</v>
      </c>
      <c r="F60" s="274">
        <f t="shared" si="16"/>
        <v>0.65735303645090171</v>
      </c>
      <c r="G60" s="318" t="s">
        <v>195</v>
      </c>
      <c r="H60" s="276" t="s">
        <v>733</v>
      </c>
      <c r="I60" s="276" t="s">
        <v>200</v>
      </c>
      <c r="J60" s="277">
        <v>43.2</v>
      </c>
      <c r="K60" s="278" t="s">
        <v>582</v>
      </c>
      <c r="L60" s="278" t="s">
        <v>582</v>
      </c>
      <c r="M60" s="279">
        <f>P60/0.8235</f>
        <v>344.84093715457146</v>
      </c>
      <c r="N60" s="320"/>
      <c r="O60" s="334"/>
      <c r="P60" s="279">
        <f>J60*(F60/100)*1000</f>
        <v>283.97651174678958</v>
      </c>
      <c r="Q60" s="320"/>
      <c r="R60" s="320"/>
      <c r="S60" s="277" t="s">
        <v>37</v>
      </c>
      <c r="T60" s="283" t="s">
        <v>37</v>
      </c>
      <c r="U60" s="304" t="s">
        <v>582</v>
      </c>
      <c r="V60" s="218" t="s">
        <v>712</v>
      </c>
      <c r="W60" s="285">
        <f t="shared" si="17"/>
        <v>283.97651174678958</v>
      </c>
    </row>
    <row r="61" spans="1:23" x14ac:dyDescent="0.2">
      <c r="A61" s="269">
        <v>8.6</v>
      </c>
      <c r="B61" s="270">
        <f t="shared" si="13"/>
        <v>281.75</v>
      </c>
      <c r="C61" s="271">
        <f t="shared" si="14"/>
        <v>9.7793370541259979</v>
      </c>
      <c r="D61" s="272">
        <v>7.6</v>
      </c>
      <c r="E61" s="273">
        <f t="shared" si="15"/>
        <v>6.5735303645090169E-3</v>
      </c>
      <c r="F61" s="274">
        <f t="shared" si="16"/>
        <v>0.65735303645090171</v>
      </c>
      <c r="G61" s="318" t="s">
        <v>204</v>
      </c>
      <c r="H61" s="276" t="s">
        <v>737</v>
      </c>
      <c r="I61" s="276" t="s">
        <v>54</v>
      </c>
      <c r="J61" s="277">
        <v>15.1</v>
      </c>
      <c r="K61" s="278" t="s">
        <v>582</v>
      </c>
      <c r="L61" s="278" t="s">
        <v>582</v>
      </c>
      <c r="M61" s="279">
        <f>P61/0.8235</f>
        <v>120.53467942208397</v>
      </c>
      <c r="N61" s="320"/>
      <c r="O61" s="334"/>
      <c r="P61" s="306">
        <f>J61*(F61/100)*1000</f>
        <v>99.260308504086154</v>
      </c>
      <c r="Q61" s="320"/>
      <c r="R61" s="320"/>
      <c r="S61" s="277" t="s">
        <v>37</v>
      </c>
      <c r="T61" s="283" t="s">
        <v>37</v>
      </c>
      <c r="U61" s="304" t="s">
        <v>582</v>
      </c>
      <c r="V61" s="218" t="s">
        <v>712</v>
      </c>
      <c r="W61" s="307">
        <f t="shared" si="17"/>
        <v>99.260308504086154</v>
      </c>
    </row>
    <row r="62" spans="1:23" x14ac:dyDescent="0.2">
      <c r="A62" s="269">
        <v>8.6</v>
      </c>
      <c r="B62" s="270">
        <f t="shared" si="13"/>
        <v>281.75</v>
      </c>
      <c r="C62" s="271">
        <f t="shared" si="14"/>
        <v>9.7793370541259979</v>
      </c>
      <c r="D62" s="272">
        <v>7.6</v>
      </c>
      <c r="E62" s="273">
        <f t="shared" si="15"/>
        <v>6.5735303645090169E-3</v>
      </c>
      <c r="F62" s="274">
        <f t="shared" si="16"/>
        <v>0.65735303645090171</v>
      </c>
      <c r="G62" s="318" t="s">
        <v>205</v>
      </c>
      <c r="H62" s="276" t="s">
        <v>737</v>
      </c>
      <c r="I62" s="276" t="s">
        <v>200</v>
      </c>
      <c r="J62" s="277">
        <v>20.6</v>
      </c>
      <c r="K62" s="278">
        <v>14.2</v>
      </c>
      <c r="L62" s="278">
        <v>46.2</v>
      </c>
      <c r="M62" s="279">
        <f>P62/0.8235</f>
        <v>164.43803947648544</v>
      </c>
      <c r="N62" s="320">
        <f>Q62/0.8235</f>
        <v>113.35049323136374</v>
      </c>
      <c r="O62" s="334">
        <f>R62/0.8235</f>
        <v>368.78822445697216</v>
      </c>
      <c r="P62" s="279">
        <f>J62*(F62/100)*1000</f>
        <v>135.41472550888577</v>
      </c>
      <c r="Q62" s="319">
        <f>K62*(F62/100)*1000</f>
        <v>93.344131176028043</v>
      </c>
      <c r="R62" s="320">
        <f>L62*(F62/100)*1000</f>
        <v>303.69710284031657</v>
      </c>
      <c r="S62" s="277" t="s">
        <v>37</v>
      </c>
      <c r="T62" s="283" t="s">
        <v>37</v>
      </c>
      <c r="U62" s="304" t="s">
        <v>582</v>
      </c>
      <c r="V62" s="218" t="s">
        <v>712</v>
      </c>
      <c r="W62" s="285">
        <f t="shared" si="17"/>
        <v>135.41472550888577</v>
      </c>
    </row>
    <row r="63" spans="1:23" x14ac:dyDescent="0.2">
      <c r="A63" s="269">
        <v>8.6</v>
      </c>
      <c r="B63" s="270">
        <f t="shared" si="13"/>
        <v>281.75</v>
      </c>
      <c r="C63" s="271">
        <f t="shared" si="14"/>
        <v>9.7793370541259979</v>
      </c>
      <c r="D63" s="272">
        <v>7.6</v>
      </c>
      <c r="E63" s="273">
        <f t="shared" si="15"/>
        <v>6.5735303645090169E-3</v>
      </c>
      <c r="F63" s="274">
        <f t="shared" si="16"/>
        <v>0.65735303645090171</v>
      </c>
      <c r="G63" s="318" t="s">
        <v>207</v>
      </c>
      <c r="H63" s="276" t="s">
        <v>738</v>
      </c>
      <c r="I63" s="276" t="s">
        <v>54</v>
      </c>
      <c r="J63" s="277">
        <v>7.71</v>
      </c>
      <c r="K63" s="278" t="s">
        <v>582</v>
      </c>
      <c r="L63" s="278" t="s">
        <v>582</v>
      </c>
      <c r="M63" s="306">
        <f>P63/0.8235</f>
        <v>61.544528367170038</v>
      </c>
      <c r="N63" s="320"/>
      <c r="O63" s="334"/>
      <c r="P63" s="306">
        <f>J63*(F63/100)*1000</f>
        <v>50.681919110364525</v>
      </c>
      <c r="Q63" s="320"/>
      <c r="R63" s="320"/>
      <c r="S63" s="277" t="s">
        <v>37</v>
      </c>
      <c r="T63" s="283" t="s">
        <v>37</v>
      </c>
      <c r="U63" s="304" t="s">
        <v>582</v>
      </c>
      <c r="V63" s="218" t="s">
        <v>712</v>
      </c>
      <c r="W63" s="307">
        <f t="shared" si="17"/>
        <v>50.681919110364525</v>
      </c>
    </row>
    <row r="64" spans="1:23" x14ac:dyDescent="0.2">
      <c r="A64" s="269">
        <v>8.6</v>
      </c>
      <c r="B64" s="270">
        <f t="shared" si="13"/>
        <v>281.75</v>
      </c>
      <c r="C64" s="271">
        <f t="shared" si="14"/>
        <v>9.7793370541259979</v>
      </c>
      <c r="D64" s="272">
        <v>7.6</v>
      </c>
      <c r="E64" s="273">
        <f t="shared" si="15"/>
        <v>6.5735303645090169E-3</v>
      </c>
      <c r="F64" s="274">
        <f t="shared" si="16"/>
        <v>0.65735303645090171</v>
      </c>
      <c r="G64" s="318" t="s">
        <v>210</v>
      </c>
      <c r="H64" s="276" t="s">
        <v>738</v>
      </c>
      <c r="I64" s="276" t="s">
        <v>200</v>
      </c>
      <c r="J64" s="277">
        <v>13.21</v>
      </c>
      <c r="K64" s="278">
        <v>2.94</v>
      </c>
      <c r="L64" s="278">
        <v>53</v>
      </c>
      <c r="M64" s="279">
        <f>P64/0.8235</f>
        <v>105.44788842157148</v>
      </c>
      <c r="N64" s="319">
        <f>Q64/0.8235</f>
        <v>23.468341556352776</v>
      </c>
      <c r="O64" s="334">
        <f>R64/0.8235</f>
        <v>423.06874234241394</v>
      </c>
      <c r="P64" s="306">
        <f>J64*(F64/100)*1000</f>
        <v>86.836336115164116</v>
      </c>
      <c r="Q64" s="319">
        <f>K64*(F64/100)*1000</f>
        <v>19.32617927165651</v>
      </c>
      <c r="R64" s="320">
        <f>L64*(F64/100)*1000</f>
        <v>348.39710931897787</v>
      </c>
      <c r="S64" s="277" t="s">
        <v>37</v>
      </c>
      <c r="T64" s="283" t="s">
        <v>37</v>
      </c>
      <c r="U64" s="304" t="s">
        <v>582</v>
      </c>
      <c r="V64" s="218" t="s">
        <v>712</v>
      </c>
      <c r="W64" s="307">
        <f t="shared" si="17"/>
        <v>86.836336115164116</v>
      </c>
    </row>
    <row r="65" spans="1:24" x14ac:dyDescent="0.2">
      <c r="A65" s="269">
        <v>8.6</v>
      </c>
      <c r="B65" s="270">
        <f t="shared" si="13"/>
        <v>281.75</v>
      </c>
      <c r="C65" s="271">
        <f t="shared" si="14"/>
        <v>9.7793370541259979</v>
      </c>
      <c r="D65" s="272">
        <v>7.6</v>
      </c>
      <c r="E65" s="273">
        <f t="shared" si="15"/>
        <v>6.5735303645090169E-3</v>
      </c>
      <c r="F65" s="274">
        <f t="shared" si="16"/>
        <v>0.65735303645090171</v>
      </c>
      <c r="G65" s="318" t="s">
        <v>739</v>
      </c>
      <c r="H65" s="276" t="s">
        <v>740</v>
      </c>
      <c r="I65" s="276" t="s">
        <v>54</v>
      </c>
      <c r="J65" s="277" t="s">
        <v>741</v>
      </c>
      <c r="K65" s="278" t="s">
        <v>582</v>
      </c>
      <c r="L65" s="278" t="s">
        <v>582</v>
      </c>
      <c r="M65" s="335" t="s">
        <v>742</v>
      </c>
      <c r="N65" s="336"/>
      <c r="O65" s="337"/>
      <c r="P65" s="338" t="s">
        <v>743</v>
      </c>
      <c r="Q65" s="336"/>
      <c r="R65" s="336"/>
      <c r="S65" s="277" t="s">
        <v>37</v>
      </c>
      <c r="T65" s="283" t="s">
        <v>37</v>
      </c>
      <c r="U65" s="304" t="s">
        <v>582</v>
      </c>
      <c r="V65" s="218" t="s">
        <v>712</v>
      </c>
      <c r="W65" s="307" t="str">
        <f t="shared" si="17"/>
        <v>values not used (≥99)</v>
      </c>
    </row>
    <row r="66" spans="1:24" x14ac:dyDescent="0.2">
      <c r="A66" s="286">
        <v>8.6</v>
      </c>
      <c r="B66" s="287">
        <f t="shared" si="13"/>
        <v>281.75</v>
      </c>
      <c r="C66" s="288">
        <f t="shared" si="14"/>
        <v>9.7793370541259979</v>
      </c>
      <c r="D66" s="289">
        <v>7.6</v>
      </c>
      <c r="E66" s="290">
        <f t="shared" si="15"/>
        <v>6.5735303645090169E-3</v>
      </c>
      <c r="F66" s="291">
        <f t="shared" si="16"/>
        <v>0.65735303645090171</v>
      </c>
      <c r="G66" s="325" t="s">
        <v>211</v>
      </c>
      <c r="H66" s="226" t="s">
        <v>740</v>
      </c>
      <c r="I66" s="226" t="s">
        <v>200</v>
      </c>
      <c r="J66" s="293">
        <v>13.4</v>
      </c>
      <c r="K66" s="294">
        <v>4.4000000000000004</v>
      </c>
      <c r="L66" s="294">
        <v>26.6</v>
      </c>
      <c r="M66" s="295">
        <f>P66/0.8235</f>
        <v>106.96454995072354</v>
      </c>
      <c r="N66" s="326">
        <f>Q66/0.8235</f>
        <v>35.122688043521158</v>
      </c>
      <c r="O66" s="327">
        <f>R66/0.8235</f>
        <v>212.33261408128701</v>
      </c>
      <c r="P66" s="309">
        <f>J66*(F66/100)*1000</f>
        <v>88.085306884420831</v>
      </c>
      <c r="Q66" s="326">
        <f>K66*(F66/100)*1000</f>
        <v>28.923533603839676</v>
      </c>
      <c r="R66" s="328">
        <f>L66*(F66/100)*1000</f>
        <v>174.85590769593986</v>
      </c>
      <c r="S66" s="293" t="s">
        <v>37</v>
      </c>
      <c r="T66" s="299" t="s">
        <v>37</v>
      </c>
      <c r="U66" s="312" t="s">
        <v>582</v>
      </c>
      <c r="V66" s="301" t="s">
        <v>712</v>
      </c>
      <c r="W66" s="313">
        <f t="shared" si="17"/>
        <v>88.085306884420831</v>
      </c>
    </row>
    <row r="67" spans="1:24" x14ac:dyDescent="0.2">
      <c r="A67" s="252">
        <v>28</v>
      </c>
      <c r="B67" s="253">
        <f t="shared" si="13"/>
        <v>301.14999999999998</v>
      </c>
      <c r="C67" s="254">
        <f t="shared" si="14"/>
        <v>9.1551642271293385</v>
      </c>
      <c r="D67" s="255">
        <v>7.72</v>
      </c>
      <c r="E67" s="256">
        <f t="shared" si="15"/>
        <v>3.5414137192052206E-2</v>
      </c>
      <c r="F67" s="257">
        <f t="shared" si="16"/>
        <v>3.5414137192052206</v>
      </c>
      <c r="G67" s="314" t="s">
        <v>182</v>
      </c>
      <c r="H67" s="212" t="s">
        <v>744</v>
      </c>
      <c r="I67" s="212" t="s">
        <v>112</v>
      </c>
      <c r="J67" s="259" t="s">
        <v>37</v>
      </c>
      <c r="K67" s="260" t="s">
        <v>582</v>
      </c>
      <c r="L67" s="260" t="s">
        <v>582</v>
      </c>
      <c r="M67" s="339"/>
      <c r="N67" s="262"/>
      <c r="O67" s="263"/>
      <c r="P67" s="339"/>
      <c r="Q67" s="262"/>
      <c r="R67" s="263"/>
      <c r="S67" s="264">
        <f>T67*17/14</f>
        <v>1991.4285714285713</v>
      </c>
      <c r="T67" s="265">
        <v>1640</v>
      </c>
      <c r="U67" s="303" t="s">
        <v>582</v>
      </c>
      <c r="V67" s="267" t="s">
        <v>706</v>
      </c>
      <c r="W67" s="268">
        <f t="shared" si="17"/>
        <v>1640</v>
      </c>
    </row>
    <row r="68" spans="1:24" x14ac:dyDescent="0.2">
      <c r="A68" s="286">
        <v>28</v>
      </c>
      <c r="B68" s="287">
        <f t="shared" si="13"/>
        <v>301.14999999999998</v>
      </c>
      <c r="C68" s="288">
        <f t="shared" si="14"/>
        <v>9.1551642271293385</v>
      </c>
      <c r="D68" s="289">
        <v>7.72</v>
      </c>
      <c r="E68" s="290">
        <f t="shared" si="15"/>
        <v>3.5414137192052206E-2</v>
      </c>
      <c r="F68" s="291">
        <f t="shared" si="16"/>
        <v>3.5414137192052206</v>
      </c>
      <c r="G68" s="325" t="s">
        <v>187</v>
      </c>
      <c r="H68" s="226" t="s">
        <v>745</v>
      </c>
      <c r="I68" s="226" t="s">
        <v>112</v>
      </c>
      <c r="J68" s="293" t="s">
        <v>37</v>
      </c>
      <c r="K68" s="294" t="s">
        <v>582</v>
      </c>
      <c r="L68" s="294" t="s">
        <v>582</v>
      </c>
      <c r="M68" s="321"/>
      <c r="N68" s="280"/>
      <c r="O68" s="281"/>
      <c r="P68" s="321"/>
      <c r="Q68" s="280"/>
      <c r="R68" s="281"/>
      <c r="S68" s="298">
        <f>T68*17/14</f>
        <v>2173.5714285714284</v>
      </c>
      <c r="T68" s="299">
        <v>1790</v>
      </c>
      <c r="U68" s="312" t="s">
        <v>582</v>
      </c>
      <c r="V68" s="301" t="s">
        <v>706</v>
      </c>
      <c r="W68" s="302">
        <f t="shared" si="17"/>
        <v>1790</v>
      </c>
    </row>
    <row r="69" spans="1:24" x14ac:dyDescent="0.2">
      <c r="A69" s="252">
        <v>22.3</v>
      </c>
      <c r="B69" s="253">
        <f t="shared" si="13"/>
        <v>295.45</v>
      </c>
      <c r="C69" s="254">
        <f t="shared" si="14"/>
        <v>9.3300513826366576</v>
      </c>
      <c r="D69" s="255">
        <v>9.5</v>
      </c>
      <c r="E69" s="256">
        <f t="shared" si="15"/>
        <v>0.59660069946778638</v>
      </c>
      <c r="F69" s="257">
        <f t="shared" si="16"/>
        <v>59.660069946778634</v>
      </c>
      <c r="G69" s="314" t="s">
        <v>188</v>
      </c>
      <c r="H69" s="212" t="s">
        <v>746</v>
      </c>
      <c r="I69" s="212" t="s">
        <v>112</v>
      </c>
      <c r="J69" s="259" t="s">
        <v>37</v>
      </c>
      <c r="K69" s="260" t="s">
        <v>582</v>
      </c>
      <c r="L69" s="260" t="s">
        <v>582</v>
      </c>
      <c r="M69" s="310"/>
      <c r="N69" s="262"/>
      <c r="O69" s="262"/>
      <c r="P69" s="310"/>
      <c r="Q69" s="262"/>
      <c r="R69" s="262"/>
      <c r="S69" s="264">
        <f>T69*17/14</f>
        <v>546.42857142857144</v>
      </c>
      <c r="T69" s="265">
        <v>450</v>
      </c>
      <c r="U69" s="303" t="s">
        <v>582</v>
      </c>
      <c r="V69" s="267" t="s">
        <v>706</v>
      </c>
      <c r="W69" s="268">
        <f t="shared" si="17"/>
        <v>450</v>
      </c>
    </row>
    <row r="70" spans="1:24" x14ac:dyDescent="0.2">
      <c r="A70" s="286">
        <v>22.3</v>
      </c>
      <c r="B70" s="287">
        <f t="shared" si="13"/>
        <v>295.45</v>
      </c>
      <c r="C70" s="288">
        <f t="shared" si="14"/>
        <v>9.3300513826366576</v>
      </c>
      <c r="D70" s="289">
        <v>9.5</v>
      </c>
      <c r="E70" s="290">
        <f t="shared" si="15"/>
        <v>0.59660069946778638</v>
      </c>
      <c r="F70" s="291">
        <f t="shared" si="16"/>
        <v>59.660069946778634</v>
      </c>
      <c r="G70" s="325" t="s">
        <v>194</v>
      </c>
      <c r="H70" s="226" t="s">
        <v>746</v>
      </c>
      <c r="I70" s="226" t="s">
        <v>54</v>
      </c>
      <c r="J70" s="293">
        <v>0.64</v>
      </c>
      <c r="K70" s="294" t="s">
        <v>582</v>
      </c>
      <c r="L70" s="294" t="s">
        <v>582</v>
      </c>
      <c r="M70" s="309">
        <f t="shared" ref="M70:O95" si="18">P70/0.8235</f>
        <v>463.66053146251767</v>
      </c>
      <c r="N70" s="296"/>
      <c r="O70" s="296"/>
      <c r="P70" s="309">
        <f t="shared" ref="P70:P107" si="19">J70*(F70/100)*1000</f>
        <v>381.82444765938328</v>
      </c>
      <c r="Q70" s="296"/>
      <c r="R70" s="296"/>
      <c r="S70" s="298">
        <f>T70*17/14</f>
        <v>449.28571428571428</v>
      </c>
      <c r="T70" s="299">
        <v>370</v>
      </c>
      <c r="U70" s="300">
        <f>M70/T70*100</f>
        <v>125.31365715203179</v>
      </c>
      <c r="V70" s="340" t="s">
        <v>706</v>
      </c>
      <c r="W70" s="302">
        <f t="shared" si="17"/>
        <v>370</v>
      </c>
    </row>
    <row r="71" spans="1:24" x14ac:dyDescent="0.2">
      <c r="A71" s="252">
        <v>22</v>
      </c>
      <c r="B71" s="253">
        <f t="shared" si="13"/>
        <v>295.14999999999998</v>
      </c>
      <c r="C71" s="254">
        <f t="shared" si="14"/>
        <v>9.3394430865661544</v>
      </c>
      <c r="D71" s="272">
        <v>7.3</v>
      </c>
      <c r="E71" s="256">
        <f t="shared" si="15"/>
        <v>9.0491756190294401E-3</v>
      </c>
      <c r="F71" s="257">
        <f t="shared" si="16"/>
        <v>0.90491756190294403</v>
      </c>
      <c r="G71" s="314" t="s">
        <v>401</v>
      </c>
      <c r="H71" s="212" t="s">
        <v>747</v>
      </c>
      <c r="I71" s="212" t="s">
        <v>112</v>
      </c>
      <c r="J71" s="259">
        <v>25</v>
      </c>
      <c r="K71" s="260">
        <v>21.9</v>
      </c>
      <c r="L71" s="260">
        <v>28.7</v>
      </c>
      <c r="M71" s="310">
        <f t="shared" si="18"/>
        <v>274.71692832511962</v>
      </c>
      <c r="N71" s="262"/>
      <c r="O71" s="263"/>
      <c r="P71" s="310">
        <f t="shared" si="19"/>
        <v>226.22939047573601</v>
      </c>
      <c r="Q71" s="316"/>
      <c r="R71" s="341"/>
      <c r="S71" s="259">
        <v>360</v>
      </c>
      <c r="T71" s="342">
        <f t="shared" ref="T71:T88" si="20">S71*14/17</f>
        <v>296.47058823529414</v>
      </c>
      <c r="U71" s="266">
        <f t="shared" ref="U71:U89" si="21">M71/T71*100</f>
        <v>92.662455982679219</v>
      </c>
      <c r="V71" s="343" t="s">
        <v>706</v>
      </c>
      <c r="W71" s="268">
        <f t="shared" si="17"/>
        <v>296.47058823529414</v>
      </c>
      <c r="X71" t="s">
        <v>748</v>
      </c>
    </row>
    <row r="72" spans="1:24" x14ac:dyDescent="0.2">
      <c r="A72" s="269">
        <v>22</v>
      </c>
      <c r="B72" s="270">
        <f t="shared" si="13"/>
        <v>295.14999999999998</v>
      </c>
      <c r="C72" s="271">
        <f t="shared" si="14"/>
        <v>9.3394430865661544</v>
      </c>
      <c r="D72" s="272">
        <v>7.3</v>
      </c>
      <c r="E72" s="273">
        <f t="shared" si="15"/>
        <v>9.0491756190294401E-3</v>
      </c>
      <c r="F72" s="274">
        <f t="shared" si="16"/>
        <v>0.90491756190294403</v>
      </c>
      <c r="G72" s="318" t="s">
        <v>403</v>
      </c>
      <c r="H72" s="276" t="s">
        <v>749</v>
      </c>
      <c r="I72" s="276" t="s">
        <v>112</v>
      </c>
      <c r="J72" s="277">
        <v>30.3</v>
      </c>
      <c r="K72" s="278">
        <v>27</v>
      </c>
      <c r="L72" s="278">
        <v>33.4</v>
      </c>
      <c r="M72" s="306">
        <f t="shared" si="18"/>
        <v>332.95691713004499</v>
      </c>
      <c r="N72" s="280"/>
      <c r="O72" s="281"/>
      <c r="P72" s="306">
        <f t="shared" si="19"/>
        <v>274.19002125659205</v>
      </c>
      <c r="Q72" s="319"/>
      <c r="R72" s="344"/>
      <c r="S72" s="277">
        <v>640</v>
      </c>
      <c r="T72" s="345">
        <f t="shared" si="20"/>
        <v>527.05882352941171</v>
      </c>
      <c r="U72" s="284">
        <f t="shared" si="21"/>
        <v>63.172629366191579</v>
      </c>
      <c r="V72" s="346" t="s">
        <v>706</v>
      </c>
      <c r="W72" s="285">
        <f t="shared" si="17"/>
        <v>527.05882352941171</v>
      </c>
    </row>
    <row r="73" spans="1:24" x14ac:dyDescent="0.2">
      <c r="A73" s="269">
        <v>22</v>
      </c>
      <c r="B73" s="270">
        <f t="shared" si="13"/>
        <v>295.14999999999998</v>
      </c>
      <c r="C73" s="271">
        <f t="shared" si="14"/>
        <v>9.3394430865661544</v>
      </c>
      <c r="D73" s="272">
        <v>7.3</v>
      </c>
      <c r="E73" s="273">
        <f t="shared" si="15"/>
        <v>9.0491756190294401E-3</v>
      </c>
      <c r="F73" s="274">
        <f t="shared" si="16"/>
        <v>0.90491756190294403</v>
      </c>
      <c r="G73" s="318" t="s">
        <v>405</v>
      </c>
      <c r="H73" s="276" t="s">
        <v>750</v>
      </c>
      <c r="I73" s="276" t="s">
        <v>112</v>
      </c>
      <c r="J73" s="277">
        <v>32.4</v>
      </c>
      <c r="K73" s="278">
        <v>29.7</v>
      </c>
      <c r="L73" s="278">
        <v>35.4</v>
      </c>
      <c r="M73" s="306">
        <f t="shared" si="18"/>
        <v>356.03313910935498</v>
      </c>
      <c r="N73" s="280"/>
      <c r="O73" s="281"/>
      <c r="P73" s="306">
        <f t="shared" si="19"/>
        <v>293.19329005655385</v>
      </c>
      <c r="Q73" s="319"/>
      <c r="R73" s="344"/>
      <c r="S73" s="277">
        <v>520</v>
      </c>
      <c r="T73" s="345">
        <f t="shared" si="20"/>
        <v>428.23529411764707</v>
      </c>
      <c r="U73" s="284">
        <f t="shared" si="21"/>
        <v>83.139606660151571</v>
      </c>
      <c r="V73" s="346" t="s">
        <v>706</v>
      </c>
      <c r="W73" s="285">
        <f t="shared" si="17"/>
        <v>428.23529411764707</v>
      </c>
    </row>
    <row r="74" spans="1:24" x14ac:dyDescent="0.2">
      <c r="A74" s="269">
        <v>22</v>
      </c>
      <c r="B74" s="270">
        <f t="shared" si="13"/>
        <v>295.14999999999998</v>
      </c>
      <c r="C74" s="271">
        <f t="shared" si="14"/>
        <v>9.3394430865661544</v>
      </c>
      <c r="D74" s="272">
        <v>7.3</v>
      </c>
      <c r="E74" s="273">
        <f t="shared" si="15"/>
        <v>9.0491756190294401E-3</v>
      </c>
      <c r="F74" s="274">
        <f t="shared" si="16"/>
        <v>0.90491756190294403</v>
      </c>
      <c r="G74" s="318" t="s">
        <v>396</v>
      </c>
      <c r="H74" s="276" t="s">
        <v>747</v>
      </c>
      <c r="I74" s="276" t="s">
        <v>392</v>
      </c>
      <c r="J74" s="277">
        <v>3.3</v>
      </c>
      <c r="K74" s="278" t="s">
        <v>582</v>
      </c>
      <c r="L74" s="278" t="s">
        <v>582</v>
      </c>
      <c r="M74" s="306">
        <f t="shared" si="18"/>
        <v>36.262634538915783</v>
      </c>
      <c r="N74" s="280"/>
      <c r="O74" s="281"/>
      <c r="P74" s="306">
        <f t="shared" si="19"/>
        <v>29.86227954279715</v>
      </c>
      <c r="Q74" s="319"/>
      <c r="R74" s="344"/>
      <c r="S74" s="277">
        <v>30</v>
      </c>
      <c r="T74" s="347">
        <f t="shared" si="20"/>
        <v>24.705882352941178</v>
      </c>
      <c r="U74" s="284">
        <f t="shared" si="21"/>
        <v>146.77733027656387</v>
      </c>
      <c r="V74" s="346" t="s">
        <v>706</v>
      </c>
      <c r="W74" s="307">
        <f t="shared" si="17"/>
        <v>24.705882352941178</v>
      </c>
    </row>
    <row r="75" spans="1:24" x14ac:dyDescent="0.2">
      <c r="A75" s="269">
        <v>22</v>
      </c>
      <c r="B75" s="270">
        <f t="shared" si="13"/>
        <v>295.14999999999998</v>
      </c>
      <c r="C75" s="271">
        <f t="shared" si="14"/>
        <v>9.3394430865661544</v>
      </c>
      <c r="D75" s="272">
        <v>7.3</v>
      </c>
      <c r="E75" s="273">
        <f t="shared" si="15"/>
        <v>9.0491756190294401E-3</v>
      </c>
      <c r="F75" s="274">
        <f t="shared" si="16"/>
        <v>0.90491756190294403</v>
      </c>
      <c r="G75" s="318" t="s">
        <v>388</v>
      </c>
      <c r="H75" s="276" t="s">
        <v>749</v>
      </c>
      <c r="I75" s="276" t="s">
        <v>392</v>
      </c>
      <c r="J75" s="277">
        <v>12.8</v>
      </c>
      <c r="K75" s="278" t="s">
        <v>582</v>
      </c>
      <c r="L75" s="278" t="s">
        <v>582</v>
      </c>
      <c r="M75" s="306">
        <f t="shared" si="18"/>
        <v>140.65506730246125</v>
      </c>
      <c r="N75" s="280"/>
      <c r="O75" s="281"/>
      <c r="P75" s="306">
        <f t="shared" si="19"/>
        <v>115.82944792357684</v>
      </c>
      <c r="Q75" s="319"/>
      <c r="R75" s="344"/>
      <c r="S75" s="277">
        <v>230</v>
      </c>
      <c r="T75" s="345">
        <f t="shared" si="20"/>
        <v>189.41176470588235</v>
      </c>
      <c r="U75" s="284">
        <f t="shared" si="21"/>
        <v>74.258886464032344</v>
      </c>
      <c r="V75" s="346" t="s">
        <v>706</v>
      </c>
      <c r="W75" s="285">
        <f t="shared" si="17"/>
        <v>189.41176470588235</v>
      </c>
    </row>
    <row r="76" spans="1:24" x14ac:dyDescent="0.2">
      <c r="A76" s="269">
        <v>22</v>
      </c>
      <c r="B76" s="270">
        <f t="shared" si="13"/>
        <v>295.14999999999998</v>
      </c>
      <c r="C76" s="271">
        <f t="shared" si="14"/>
        <v>9.3394430865661544</v>
      </c>
      <c r="D76" s="272">
        <v>7.3</v>
      </c>
      <c r="E76" s="273">
        <f t="shared" si="15"/>
        <v>9.0491756190294401E-3</v>
      </c>
      <c r="F76" s="274">
        <f t="shared" si="16"/>
        <v>0.90491756190294403</v>
      </c>
      <c r="G76" s="318" t="s">
        <v>407</v>
      </c>
      <c r="H76" s="276" t="s">
        <v>750</v>
      </c>
      <c r="I76" s="276" t="s">
        <v>392</v>
      </c>
      <c r="J76" s="277">
        <v>6.1</v>
      </c>
      <c r="K76" s="278" t="s">
        <v>582</v>
      </c>
      <c r="L76" s="278" t="s">
        <v>582</v>
      </c>
      <c r="M76" s="306">
        <f t="shared" si="18"/>
        <v>67.030930511329174</v>
      </c>
      <c r="N76" s="280"/>
      <c r="O76" s="281"/>
      <c r="P76" s="306">
        <f t="shared" si="19"/>
        <v>55.19997127607958</v>
      </c>
      <c r="Q76" s="319"/>
      <c r="R76" s="344"/>
      <c r="S76" s="277">
        <v>90</v>
      </c>
      <c r="T76" s="347">
        <f t="shared" si="20"/>
        <v>74.117647058823536</v>
      </c>
      <c r="U76" s="284">
        <f t="shared" si="21"/>
        <v>90.438557039094917</v>
      </c>
      <c r="V76" s="346" t="s">
        <v>706</v>
      </c>
      <c r="W76" s="307">
        <f t="shared" si="17"/>
        <v>74.117647058823536</v>
      </c>
    </row>
    <row r="77" spans="1:24" x14ac:dyDescent="0.2">
      <c r="A77" s="286">
        <v>22</v>
      </c>
      <c r="B77" s="287">
        <f t="shared" si="13"/>
        <v>295.14999999999998</v>
      </c>
      <c r="C77" s="288">
        <f t="shared" si="14"/>
        <v>9.3394430865661544</v>
      </c>
      <c r="D77" s="272">
        <v>7.3</v>
      </c>
      <c r="E77" s="290">
        <f t="shared" si="15"/>
        <v>9.0491756190294401E-3</v>
      </c>
      <c r="F77" s="291">
        <f t="shared" si="16"/>
        <v>0.90491756190294403</v>
      </c>
      <c r="G77" s="325" t="s">
        <v>399</v>
      </c>
      <c r="H77" s="226" t="s">
        <v>750</v>
      </c>
      <c r="I77" s="226" t="s">
        <v>392</v>
      </c>
      <c r="J77" s="293">
        <v>11.7</v>
      </c>
      <c r="K77" s="294" t="s">
        <v>582</v>
      </c>
      <c r="L77" s="294" t="s">
        <v>582</v>
      </c>
      <c r="M77" s="309">
        <f t="shared" si="18"/>
        <v>128.56752245615596</v>
      </c>
      <c r="N77" s="296"/>
      <c r="O77" s="297"/>
      <c r="P77" s="309">
        <f t="shared" si="19"/>
        <v>105.87535474264443</v>
      </c>
      <c r="Q77" s="326"/>
      <c r="R77" s="348"/>
      <c r="S77" s="293">
        <v>180</v>
      </c>
      <c r="T77" s="349">
        <f t="shared" si="20"/>
        <v>148.23529411764707</v>
      </c>
      <c r="U77" s="300">
        <f t="shared" si="21"/>
        <v>86.732058799787737</v>
      </c>
      <c r="V77" s="340" t="s">
        <v>706</v>
      </c>
      <c r="W77" s="302">
        <f t="shared" si="17"/>
        <v>148.23529411764707</v>
      </c>
    </row>
    <row r="78" spans="1:24" x14ac:dyDescent="0.2">
      <c r="A78" s="269">
        <v>22</v>
      </c>
      <c r="B78" s="270">
        <f t="shared" si="13"/>
        <v>295.14999999999998</v>
      </c>
      <c r="C78" s="271">
        <f t="shared" si="14"/>
        <v>9.3394430865661544</v>
      </c>
      <c r="D78" s="272">
        <v>7.3</v>
      </c>
      <c r="E78" s="273">
        <f t="shared" si="15"/>
        <v>9.0491756190294401E-3</v>
      </c>
      <c r="F78" s="274">
        <f t="shared" si="16"/>
        <v>0.90491756190294403</v>
      </c>
      <c r="G78" s="318" t="s">
        <v>409</v>
      </c>
      <c r="H78" s="276" t="s">
        <v>751</v>
      </c>
      <c r="I78" s="276" t="s">
        <v>112</v>
      </c>
      <c r="J78" s="277">
        <v>55.2</v>
      </c>
      <c r="K78" s="278">
        <v>44</v>
      </c>
      <c r="L78" s="278">
        <v>69.400000000000006</v>
      </c>
      <c r="M78" s="279">
        <f t="shared" si="18"/>
        <v>606.57497774186413</v>
      </c>
      <c r="N78" s="280"/>
      <c r="O78" s="281"/>
      <c r="P78" s="279">
        <f t="shared" si="19"/>
        <v>499.51449417042511</v>
      </c>
      <c r="Q78" s="320"/>
      <c r="R78" s="334"/>
      <c r="S78" s="277">
        <v>450</v>
      </c>
      <c r="T78" s="342">
        <f t="shared" si="20"/>
        <v>370.58823529411762</v>
      </c>
      <c r="U78" s="266">
        <f t="shared" si="21"/>
        <v>163.67896224780463</v>
      </c>
      <c r="V78" s="350" t="s">
        <v>706</v>
      </c>
      <c r="W78" s="268">
        <f t="shared" si="17"/>
        <v>370.58823529411762</v>
      </c>
      <c r="X78" t="s">
        <v>752</v>
      </c>
    </row>
    <row r="79" spans="1:24" x14ac:dyDescent="0.2">
      <c r="A79" s="269">
        <v>22</v>
      </c>
      <c r="B79" s="270">
        <f t="shared" si="13"/>
        <v>295.14999999999998</v>
      </c>
      <c r="C79" s="271">
        <f t="shared" si="14"/>
        <v>9.3394430865661544</v>
      </c>
      <c r="D79" s="272">
        <v>7.2</v>
      </c>
      <c r="E79" s="273">
        <f t="shared" si="15"/>
        <v>7.2014186870288724E-3</v>
      </c>
      <c r="F79" s="274">
        <f t="shared" si="16"/>
        <v>0.72014186870288721</v>
      </c>
      <c r="G79" s="318" t="s">
        <v>421</v>
      </c>
      <c r="H79" s="276" t="s">
        <v>753</v>
      </c>
      <c r="I79" s="276" t="s">
        <v>112</v>
      </c>
      <c r="J79" s="277">
        <v>52.9</v>
      </c>
      <c r="K79" s="278">
        <v>46.6</v>
      </c>
      <c r="L79" s="278">
        <v>60</v>
      </c>
      <c r="M79" s="279">
        <f t="shared" si="18"/>
        <v>462.60479483160572</v>
      </c>
      <c r="N79" s="280"/>
      <c r="O79" s="281"/>
      <c r="P79" s="279">
        <f t="shared" si="19"/>
        <v>380.95504854382733</v>
      </c>
      <c r="Q79" s="320"/>
      <c r="R79" s="334"/>
      <c r="S79" s="277">
        <v>280</v>
      </c>
      <c r="T79" s="345">
        <f t="shared" si="20"/>
        <v>230.58823529411765</v>
      </c>
      <c r="U79" s="284">
        <f t="shared" si="21"/>
        <v>200.61942633003306</v>
      </c>
      <c r="V79" s="351" t="s">
        <v>706</v>
      </c>
      <c r="W79" s="285">
        <f t="shared" si="17"/>
        <v>230.58823529411765</v>
      </c>
      <c r="X79" t="s">
        <v>754</v>
      </c>
    </row>
    <row r="80" spans="1:24" x14ac:dyDescent="0.2">
      <c r="A80" s="269">
        <v>22</v>
      </c>
      <c r="B80" s="270">
        <f t="shared" si="13"/>
        <v>295.14999999999998</v>
      </c>
      <c r="C80" s="271">
        <f t="shared" si="14"/>
        <v>9.3394430865661544</v>
      </c>
      <c r="D80" s="272">
        <v>7.3</v>
      </c>
      <c r="E80" s="273">
        <f t="shared" si="15"/>
        <v>9.0491756190294401E-3</v>
      </c>
      <c r="F80" s="274">
        <f t="shared" si="16"/>
        <v>0.90491756190294403</v>
      </c>
      <c r="G80" s="318" t="s">
        <v>414</v>
      </c>
      <c r="H80" s="276" t="s">
        <v>755</v>
      </c>
      <c r="I80" s="276" t="s">
        <v>112</v>
      </c>
      <c r="J80" s="277">
        <v>89.7</v>
      </c>
      <c r="K80" s="278">
        <v>74.2</v>
      </c>
      <c r="L80" s="278">
        <v>108.6</v>
      </c>
      <c r="M80" s="279">
        <f t="shared" si="18"/>
        <v>985.68433883052921</v>
      </c>
      <c r="N80" s="280"/>
      <c r="O80" s="281"/>
      <c r="P80" s="279">
        <f t="shared" si="19"/>
        <v>811.71105302694082</v>
      </c>
      <c r="Q80" s="320"/>
      <c r="R80" s="334"/>
      <c r="S80" s="277">
        <v>880</v>
      </c>
      <c r="T80" s="345">
        <f t="shared" si="20"/>
        <v>724.70588235294122</v>
      </c>
      <c r="U80" s="284">
        <f t="shared" si="21"/>
        <v>136.01163766330353</v>
      </c>
      <c r="V80" s="351" t="s">
        <v>706</v>
      </c>
      <c r="W80" s="285">
        <f t="shared" si="17"/>
        <v>724.70588235294122</v>
      </c>
      <c r="X80" t="s">
        <v>756</v>
      </c>
    </row>
    <row r="81" spans="1:23" x14ac:dyDescent="0.2">
      <c r="A81" s="269">
        <v>22</v>
      </c>
      <c r="B81" s="270">
        <f t="shared" si="13"/>
        <v>295.14999999999998</v>
      </c>
      <c r="C81" s="271">
        <f t="shared" si="14"/>
        <v>9.3394430865661544</v>
      </c>
      <c r="D81" s="272">
        <v>7.2</v>
      </c>
      <c r="E81" s="273">
        <f t="shared" si="15"/>
        <v>7.2014186870288724E-3</v>
      </c>
      <c r="F81" s="274">
        <f t="shared" si="16"/>
        <v>0.72014186870288721</v>
      </c>
      <c r="G81" s="318" t="s">
        <v>426</v>
      </c>
      <c r="H81" s="276" t="s">
        <v>757</v>
      </c>
      <c r="I81" s="276" t="s">
        <v>112</v>
      </c>
      <c r="J81" s="277">
        <v>45.5</v>
      </c>
      <c r="K81" s="278">
        <v>38</v>
      </c>
      <c r="L81" s="278">
        <v>54.5</v>
      </c>
      <c r="M81" s="279">
        <f t="shared" si="18"/>
        <v>397.8925929080919</v>
      </c>
      <c r="N81" s="280"/>
      <c r="O81" s="281"/>
      <c r="P81" s="279">
        <f t="shared" si="19"/>
        <v>327.66455025981367</v>
      </c>
      <c r="Q81" s="320"/>
      <c r="R81" s="334"/>
      <c r="S81" s="277">
        <v>420</v>
      </c>
      <c r="T81" s="345">
        <f t="shared" si="20"/>
        <v>345.88235294117646</v>
      </c>
      <c r="U81" s="284">
        <f t="shared" si="21"/>
        <v>115.0369741400946</v>
      </c>
      <c r="V81" s="351" t="s">
        <v>706</v>
      </c>
      <c r="W81" s="285">
        <f t="shared" si="17"/>
        <v>345.88235294117646</v>
      </c>
    </row>
    <row r="82" spans="1:23" x14ac:dyDescent="0.2">
      <c r="A82" s="269">
        <v>22</v>
      </c>
      <c r="B82" s="270">
        <f t="shared" si="13"/>
        <v>295.14999999999998</v>
      </c>
      <c r="C82" s="271">
        <f t="shared" si="14"/>
        <v>9.3394430865661544</v>
      </c>
      <c r="D82" s="272">
        <v>7.2</v>
      </c>
      <c r="E82" s="273">
        <f t="shared" si="15"/>
        <v>7.2014186870288724E-3</v>
      </c>
      <c r="F82" s="274">
        <f t="shared" si="16"/>
        <v>0.72014186870288721</v>
      </c>
      <c r="G82" s="318" t="s">
        <v>428</v>
      </c>
      <c r="H82" s="276" t="s">
        <v>758</v>
      </c>
      <c r="I82" s="276" t="s">
        <v>112</v>
      </c>
      <c r="J82" s="277">
        <v>64</v>
      </c>
      <c r="K82" s="278">
        <v>55.3</v>
      </c>
      <c r="L82" s="278">
        <v>74</v>
      </c>
      <c r="M82" s="279">
        <f t="shared" si="18"/>
        <v>559.67309771687655</v>
      </c>
      <c r="N82" s="280"/>
      <c r="O82" s="281"/>
      <c r="P82" s="279">
        <f t="shared" si="19"/>
        <v>460.89079596984783</v>
      </c>
      <c r="Q82" s="320"/>
      <c r="R82" s="334"/>
      <c r="S82" s="277">
        <v>330</v>
      </c>
      <c r="T82" s="345">
        <f t="shared" si="20"/>
        <v>271.76470588235293</v>
      </c>
      <c r="U82" s="284">
        <f t="shared" si="21"/>
        <v>205.94031734170781</v>
      </c>
      <c r="V82" s="351" t="s">
        <v>706</v>
      </c>
      <c r="W82" s="285">
        <f t="shared" si="17"/>
        <v>271.76470588235293</v>
      </c>
    </row>
    <row r="83" spans="1:23" x14ac:dyDescent="0.2">
      <c r="A83" s="269">
        <v>22</v>
      </c>
      <c r="B83" s="270">
        <f t="shared" si="13"/>
        <v>295.14999999999998</v>
      </c>
      <c r="C83" s="271">
        <f t="shared" si="14"/>
        <v>9.3394430865661544</v>
      </c>
      <c r="D83" s="272">
        <v>7.3</v>
      </c>
      <c r="E83" s="273">
        <f t="shared" si="15"/>
        <v>9.0491756190294401E-3</v>
      </c>
      <c r="F83" s="274">
        <f t="shared" si="16"/>
        <v>0.90491756190294403</v>
      </c>
      <c r="G83" s="318" t="s">
        <v>416</v>
      </c>
      <c r="H83" s="276" t="s">
        <v>759</v>
      </c>
      <c r="I83" s="276" t="s">
        <v>392</v>
      </c>
      <c r="J83" s="277">
        <v>24.6</v>
      </c>
      <c r="K83" s="278" t="s">
        <v>582</v>
      </c>
      <c r="L83" s="278" t="s">
        <v>582</v>
      </c>
      <c r="M83" s="279">
        <f t="shared" si="18"/>
        <v>270.32145747191771</v>
      </c>
      <c r="N83" s="280"/>
      <c r="O83" s="281"/>
      <c r="P83" s="279">
        <f t="shared" si="19"/>
        <v>222.60972022812425</v>
      </c>
      <c r="Q83" s="320"/>
      <c r="R83" s="334"/>
      <c r="S83" s="277">
        <v>230</v>
      </c>
      <c r="T83" s="345">
        <f t="shared" si="20"/>
        <v>189.41176470588235</v>
      </c>
      <c r="U83" s="284">
        <f t="shared" si="21"/>
        <v>142.71629742306214</v>
      </c>
      <c r="V83" s="351" t="s">
        <v>706</v>
      </c>
      <c r="W83" s="285">
        <f t="shared" si="17"/>
        <v>189.41176470588235</v>
      </c>
    </row>
    <row r="84" spans="1:23" x14ac:dyDescent="0.2">
      <c r="A84" s="269">
        <v>22</v>
      </c>
      <c r="B84" s="270">
        <f t="shared" si="13"/>
        <v>295.14999999999998</v>
      </c>
      <c r="C84" s="271">
        <f t="shared" si="14"/>
        <v>9.3394430865661544</v>
      </c>
      <c r="D84" s="272">
        <v>7.2</v>
      </c>
      <c r="E84" s="273">
        <f t="shared" si="15"/>
        <v>7.2014186870288724E-3</v>
      </c>
      <c r="F84" s="274">
        <f t="shared" si="16"/>
        <v>0.72014186870288721</v>
      </c>
      <c r="G84" s="318" t="s">
        <v>430</v>
      </c>
      <c r="H84" s="276" t="s">
        <v>760</v>
      </c>
      <c r="I84" s="276" t="s">
        <v>392</v>
      </c>
      <c r="J84" s="277">
        <v>49</v>
      </c>
      <c r="K84" s="278" t="s">
        <v>582</v>
      </c>
      <c r="L84" s="278" t="s">
        <v>582</v>
      </c>
      <c r="M84" s="279">
        <f t="shared" si="18"/>
        <v>428.49971543948368</v>
      </c>
      <c r="N84" s="280"/>
      <c r="O84" s="281"/>
      <c r="P84" s="279">
        <f t="shared" si="19"/>
        <v>352.86951566441479</v>
      </c>
      <c r="Q84" s="320"/>
      <c r="R84" s="334"/>
      <c r="S84" s="277">
        <v>260</v>
      </c>
      <c r="T84" s="345">
        <f t="shared" si="20"/>
        <v>214.11764705882354</v>
      </c>
      <c r="U84" s="284">
        <f t="shared" si="21"/>
        <v>200.12349347448412</v>
      </c>
      <c r="V84" s="351" t="s">
        <v>706</v>
      </c>
      <c r="W84" s="285">
        <f t="shared" si="17"/>
        <v>214.11764705882354</v>
      </c>
    </row>
    <row r="85" spans="1:23" x14ac:dyDescent="0.2">
      <c r="A85" s="269">
        <v>22</v>
      </c>
      <c r="B85" s="270">
        <f t="shared" si="13"/>
        <v>295.14999999999998</v>
      </c>
      <c r="C85" s="271">
        <f t="shared" si="14"/>
        <v>9.3394430865661544</v>
      </c>
      <c r="D85" s="272">
        <v>7.3</v>
      </c>
      <c r="E85" s="273">
        <f t="shared" si="15"/>
        <v>9.0491756190294401E-3</v>
      </c>
      <c r="F85" s="274">
        <f t="shared" si="16"/>
        <v>0.90491756190294403</v>
      </c>
      <c r="G85" s="318" t="s">
        <v>417</v>
      </c>
      <c r="H85" s="276" t="s">
        <v>761</v>
      </c>
      <c r="I85" s="276" t="s">
        <v>392</v>
      </c>
      <c r="J85" s="277">
        <v>24.6</v>
      </c>
      <c r="K85" s="278" t="s">
        <v>582</v>
      </c>
      <c r="L85" s="278" t="s">
        <v>582</v>
      </c>
      <c r="M85" s="279">
        <f t="shared" si="18"/>
        <v>270.32145747191771</v>
      </c>
      <c r="N85" s="280"/>
      <c r="O85" s="281"/>
      <c r="P85" s="279">
        <f t="shared" si="19"/>
        <v>222.60972022812425</v>
      </c>
      <c r="Q85" s="320"/>
      <c r="R85" s="334"/>
      <c r="S85" s="277">
        <v>200</v>
      </c>
      <c r="T85" s="345">
        <f t="shared" si="20"/>
        <v>164.70588235294119</v>
      </c>
      <c r="U85" s="284">
        <f t="shared" si="21"/>
        <v>164.12374203652143</v>
      </c>
      <c r="V85" s="351" t="s">
        <v>706</v>
      </c>
      <c r="W85" s="285">
        <f t="shared" si="17"/>
        <v>164.70588235294119</v>
      </c>
    </row>
    <row r="86" spans="1:23" x14ac:dyDescent="0.2">
      <c r="A86" s="269">
        <v>22</v>
      </c>
      <c r="B86" s="270">
        <f t="shared" si="13"/>
        <v>295.14999999999998</v>
      </c>
      <c r="C86" s="271">
        <f t="shared" si="14"/>
        <v>9.3394430865661544</v>
      </c>
      <c r="D86" s="272">
        <v>7.3</v>
      </c>
      <c r="E86" s="273">
        <f t="shared" si="15"/>
        <v>9.0491756190294401E-3</v>
      </c>
      <c r="F86" s="274">
        <f t="shared" si="16"/>
        <v>0.90491756190294403</v>
      </c>
      <c r="G86" s="318" t="s">
        <v>419</v>
      </c>
      <c r="H86" s="276" t="s">
        <v>762</v>
      </c>
      <c r="I86" s="276" t="s">
        <v>392</v>
      </c>
      <c r="J86" s="277">
        <v>12.3</v>
      </c>
      <c r="K86" s="278" t="s">
        <v>582</v>
      </c>
      <c r="L86" s="278" t="s">
        <v>582</v>
      </c>
      <c r="M86" s="279">
        <f t="shared" si="18"/>
        <v>135.16072873595886</v>
      </c>
      <c r="N86" s="280"/>
      <c r="O86" s="281"/>
      <c r="P86" s="279">
        <f t="shared" si="19"/>
        <v>111.30486011406212</v>
      </c>
      <c r="Q86" s="320"/>
      <c r="R86" s="334"/>
      <c r="S86" s="277">
        <v>110</v>
      </c>
      <c r="T86" s="345">
        <f t="shared" si="20"/>
        <v>90.588235294117652</v>
      </c>
      <c r="U86" s="284">
        <f t="shared" si="21"/>
        <v>149.20340185138315</v>
      </c>
      <c r="V86" s="351" t="s">
        <v>706</v>
      </c>
      <c r="W86" s="307">
        <f t="shared" si="17"/>
        <v>90.588235294117652</v>
      </c>
    </row>
    <row r="87" spans="1:23" x14ac:dyDescent="0.2">
      <c r="A87" s="269">
        <v>22</v>
      </c>
      <c r="B87" s="270">
        <f t="shared" si="13"/>
        <v>295.14999999999998</v>
      </c>
      <c r="C87" s="271">
        <f t="shared" si="14"/>
        <v>9.3394430865661544</v>
      </c>
      <c r="D87" s="272">
        <v>7.2</v>
      </c>
      <c r="E87" s="273">
        <f t="shared" si="15"/>
        <v>7.2014186870288724E-3</v>
      </c>
      <c r="F87" s="274">
        <f t="shared" si="16"/>
        <v>0.72014186870288721</v>
      </c>
      <c r="G87" s="318" t="s">
        <v>434</v>
      </c>
      <c r="H87" s="276" t="s">
        <v>763</v>
      </c>
      <c r="I87" s="276" t="s">
        <v>392</v>
      </c>
      <c r="J87" s="277">
        <v>99.5</v>
      </c>
      <c r="K87" s="278" t="s">
        <v>582</v>
      </c>
      <c r="L87" s="278" t="s">
        <v>582</v>
      </c>
      <c r="M87" s="279">
        <f t="shared" si="18"/>
        <v>870.11676910670656</v>
      </c>
      <c r="N87" s="280"/>
      <c r="O87" s="281"/>
      <c r="P87" s="279">
        <f t="shared" si="19"/>
        <v>716.54115935937284</v>
      </c>
      <c r="Q87" s="320"/>
      <c r="R87" s="334"/>
      <c r="S87" s="277">
        <v>910</v>
      </c>
      <c r="T87" s="345">
        <f t="shared" si="20"/>
        <v>749.41176470588232</v>
      </c>
      <c r="U87" s="284">
        <f t="shared" si="21"/>
        <v>116.10663324029838</v>
      </c>
      <c r="V87" s="351" t="s">
        <v>706</v>
      </c>
      <c r="W87" s="285">
        <f t="shared" si="17"/>
        <v>749.41176470588232</v>
      </c>
    </row>
    <row r="88" spans="1:23" x14ac:dyDescent="0.2">
      <c r="A88" s="286">
        <v>22</v>
      </c>
      <c r="B88" s="287">
        <f t="shared" si="13"/>
        <v>295.14999999999998</v>
      </c>
      <c r="C88" s="288">
        <f t="shared" si="14"/>
        <v>9.3394430865661544</v>
      </c>
      <c r="D88" s="272">
        <v>7.2</v>
      </c>
      <c r="E88" s="290">
        <f t="shared" si="15"/>
        <v>7.2014186870288724E-3</v>
      </c>
      <c r="F88" s="291">
        <f t="shared" si="16"/>
        <v>0.72014186870288721</v>
      </c>
      <c r="G88" s="325" t="s">
        <v>436</v>
      </c>
      <c r="H88" s="226" t="s">
        <v>764</v>
      </c>
      <c r="I88" s="352" t="s">
        <v>392</v>
      </c>
      <c r="J88" s="293">
        <v>99.5</v>
      </c>
      <c r="K88" s="294" t="s">
        <v>582</v>
      </c>
      <c r="L88" s="294" t="s">
        <v>582</v>
      </c>
      <c r="M88" s="295">
        <f t="shared" si="18"/>
        <v>870.11676910670656</v>
      </c>
      <c r="N88" s="296"/>
      <c r="O88" s="297"/>
      <c r="P88" s="295">
        <f t="shared" si="19"/>
        <v>716.54115935937284</v>
      </c>
      <c r="Q88" s="328"/>
      <c r="R88" s="327"/>
      <c r="S88" s="293">
        <v>500</v>
      </c>
      <c r="T88" s="349">
        <f t="shared" si="20"/>
        <v>411.76470588235293</v>
      </c>
      <c r="U88" s="300">
        <f t="shared" si="21"/>
        <v>211.31407249734303</v>
      </c>
      <c r="V88" s="353" t="s">
        <v>706</v>
      </c>
      <c r="W88" s="302">
        <f t="shared" si="17"/>
        <v>411.76470588235293</v>
      </c>
    </row>
    <row r="89" spans="1:23" x14ac:dyDescent="0.2">
      <c r="A89" s="354">
        <v>15.8</v>
      </c>
      <c r="B89" s="355">
        <f t="shared" si="13"/>
        <v>288.95</v>
      </c>
      <c r="C89" s="356">
        <f t="shared" si="14"/>
        <v>9.537904519813118</v>
      </c>
      <c r="D89" s="357">
        <v>8.3699999999999992</v>
      </c>
      <c r="E89" s="358">
        <f t="shared" si="15"/>
        <v>6.3613682826474921E-2</v>
      </c>
      <c r="F89" s="359">
        <f t="shared" si="16"/>
        <v>6.3613682826474918</v>
      </c>
      <c r="G89" s="360" t="s">
        <v>90</v>
      </c>
      <c r="H89" s="361" t="s">
        <v>765</v>
      </c>
      <c r="I89" s="361" t="s">
        <v>54</v>
      </c>
      <c r="J89" s="362">
        <v>0.94899999999999995</v>
      </c>
      <c r="K89" s="363" t="s">
        <v>582</v>
      </c>
      <c r="L89" s="363" t="s">
        <v>582</v>
      </c>
      <c r="M89" s="364">
        <f t="shared" si="18"/>
        <v>73.308299942106487</v>
      </c>
      <c r="N89" s="365" t="s">
        <v>582</v>
      </c>
      <c r="O89" s="366" t="s">
        <v>582</v>
      </c>
      <c r="P89" s="364">
        <f t="shared" si="19"/>
        <v>60.369385002324698</v>
      </c>
      <c r="Q89" s="365" t="s">
        <v>582</v>
      </c>
      <c r="R89" s="366" t="s">
        <v>582</v>
      </c>
      <c r="S89" s="367">
        <f>T89*17/14</f>
        <v>80.142857142857139</v>
      </c>
      <c r="T89" s="368">
        <v>66</v>
      </c>
      <c r="U89" s="369">
        <f t="shared" si="21"/>
        <v>111.07318173046437</v>
      </c>
      <c r="V89" s="370" t="s">
        <v>706</v>
      </c>
      <c r="W89" s="371">
        <f t="shared" si="17"/>
        <v>66</v>
      </c>
    </row>
    <row r="90" spans="1:23" x14ac:dyDescent="0.2">
      <c r="A90" s="252">
        <v>27.4</v>
      </c>
      <c r="B90" s="253">
        <f t="shared" si="13"/>
        <v>300.54999999999995</v>
      </c>
      <c r="C90" s="254">
        <f t="shared" si="14"/>
        <v>9.1732610181334238</v>
      </c>
      <c r="D90" s="255">
        <v>6</v>
      </c>
      <c r="E90" s="256">
        <f t="shared" si="15"/>
        <v>6.7057546118421188E-4</v>
      </c>
      <c r="F90" s="257">
        <f t="shared" si="16"/>
        <v>6.7057546118421185E-2</v>
      </c>
      <c r="G90" s="314" t="s">
        <v>766</v>
      </c>
      <c r="H90" s="212" t="s">
        <v>767</v>
      </c>
      <c r="I90" s="212" t="s">
        <v>133</v>
      </c>
      <c r="J90" s="372">
        <v>1.7</v>
      </c>
      <c r="K90" s="260">
        <v>0.74</v>
      </c>
      <c r="L90" s="260">
        <v>2.62</v>
      </c>
      <c r="M90" s="373">
        <f t="shared" si="18"/>
        <v>1.3843087844725686</v>
      </c>
      <c r="N90" s="331">
        <f t="shared" si="18"/>
        <v>0.60258147088805925</v>
      </c>
      <c r="O90" s="332">
        <f t="shared" si="18"/>
        <v>2.1334641266577234</v>
      </c>
      <c r="P90" s="373">
        <f t="shared" si="19"/>
        <v>1.1399782840131603</v>
      </c>
      <c r="Q90" s="331">
        <f t="shared" ref="Q90:Q100" si="22">K90*(F90/100)*1000</f>
        <v>0.4962258412763168</v>
      </c>
      <c r="R90" s="332">
        <f t="shared" ref="R90:R106" si="23">L90*(F90/100)*1000</f>
        <v>1.7569077083026352</v>
      </c>
      <c r="S90" s="259" t="s">
        <v>37</v>
      </c>
      <c r="T90" s="265" t="s">
        <v>37</v>
      </c>
      <c r="U90" s="303" t="s">
        <v>582</v>
      </c>
      <c r="V90" s="374" t="s">
        <v>712</v>
      </c>
      <c r="W90" s="375">
        <f t="shared" si="17"/>
        <v>1.1399782840131603</v>
      </c>
    </row>
    <row r="91" spans="1:23" x14ac:dyDescent="0.2">
      <c r="A91" s="269">
        <v>27.4</v>
      </c>
      <c r="B91" s="270">
        <f t="shared" si="13"/>
        <v>300.54999999999995</v>
      </c>
      <c r="C91" s="271">
        <f t="shared" si="14"/>
        <v>9.1732610181334238</v>
      </c>
      <c r="D91" s="272">
        <v>6.6</v>
      </c>
      <c r="E91" s="273">
        <f t="shared" si="15"/>
        <v>2.6642830038783442E-3</v>
      </c>
      <c r="F91" s="274">
        <f t="shared" si="16"/>
        <v>0.26642830038783444</v>
      </c>
      <c r="G91" s="318" t="s">
        <v>768</v>
      </c>
      <c r="H91" s="276" t="s">
        <v>769</v>
      </c>
      <c r="I91" s="276" t="s">
        <v>133</v>
      </c>
      <c r="J91" s="376">
        <v>1</v>
      </c>
      <c r="K91" s="278">
        <v>0.51</v>
      </c>
      <c r="L91" s="278">
        <v>1.54</v>
      </c>
      <c r="M91" s="322">
        <f t="shared" si="18"/>
        <v>3.2353163374357545</v>
      </c>
      <c r="N91" s="336">
        <f t="shared" si="18"/>
        <v>1.6500113320922349</v>
      </c>
      <c r="O91" s="337">
        <f t="shared" si="18"/>
        <v>4.9823871596510632</v>
      </c>
      <c r="P91" s="322">
        <f t="shared" si="19"/>
        <v>2.664283003878344</v>
      </c>
      <c r="Q91" s="336">
        <f t="shared" si="22"/>
        <v>1.3587843319779556</v>
      </c>
      <c r="R91" s="337">
        <f t="shared" si="23"/>
        <v>4.1029958259726502</v>
      </c>
      <c r="S91" s="277" t="s">
        <v>37</v>
      </c>
      <c r="T91" s="283" t="s">
        <v>37</v>
      </c>
      <c r="U91" s="304" t="s">
        <v>582</v>
      </c>
      <c r="V91" s="377" t="s">
        <v>712</v>
      </c>
      <c r="W91" s="378">
        <f t="shared" si="17"/>
        <v>2.664283003878344</v>
      </c>
    </row>
    <row r="92" spans="1:23" x14ac:dyDescent="0.2">
      <c r="A92" s="269">
        <v>27.4</v>
      </c>
      <c r="B92" s="270">
        <f t="shared" si="13"/>
        <v>300.54999999999995</v>
      </c>
      <c r="C92" s="271">
        <f t="shared" si="14"/>
        <v>9.1732610181334238</v>
      </c>
      <c r="D92" s="272">
        <v>7</v>
      </c>
      <c r="E92" s="273">
        <f t="shared" si="15"/>
        <v>6.6655269624899538E-3</v>
      </c>
      <c r="F92" s="274">
        <f t="shared" si="16"/>
        <v>0.66655269624899538</v>
      </c>
      <c r="G92" s="318" t="s">
        <v>770</v>
      </c>
      <c r="H92" s="276" t="s">
        <v>771</v>
      </c>
      <c r="I92" s="276" t="s">
        <v>133</v>
      </c>
      <c r="J92" s="277">
        <v>0.49</v>
      </c>
      <c r="K92" s="278">
        <v>0.34</v>
      </c>
      <c r="L92" s="278">
        <v>0.66</v>
      </c>
      <c r="M92" s="322">
        <f t="shared" si="18"/>
        <v>3.9661301901883146</v>
      </c>
      <c r="N92" s="336">
        <f t="shared" si="18"/>
        <v>2.7520087033959739</v>
      </c>
      <c r="O92" s="337">
        <f t="shared" si="18"/>
        <v>5.3421345418863018</v>
      </c>
      <c r="P92" s="322">
        <f t="shared" si="19"/>
        <v>3.266108211620077</v>
      </c>
      <c r="Q92" s="336">
        <f t="shared" si="22"/>
        <v>2.2662791672465845</v>
      </c>
      <c r="R92" s="337">
        <f t="shared" si="23"/>
        <v>4.3992477952433697</v>
      </c>
      <c r="S92" s="277" t="s">
        <v>37</v>
      </c>
      <c r="T92" s="283" t="s">
        <v>37</v>
      </c>
      <c r="U92" s="304" t="s">
        <v>582</v>
      </c>
      <c r="V92" s="377" t="s">
        <v>712</v>
      </c>
      <c r="W92" s="378">
        <f t="shared" si="17"/>
        <v>3.266108211620077</v>
      </c>
    </row>
    <row r="93" spans="1:23" x14ac:dyDescent="0.2">
      <c r="A93" s="269">
        <v>27.1</v>
      </c>
      <c r="B93" s="270">
        <f t="shared" si="13"/>
        <v>300.25</v>
      </c>
      <c r="C93" s="271">
        <f t="shared" si="14"/>
        <v>9.1823365362198164</v>
      </c>
      <c r="D93" s="272">
        <v>7.5</v>
      </c>
      <c r="E93" s="273">
        <f t="shared" si="15"/>
        <v>2.0357804834763654E-2</v>
      </c>
      <c r="F93" s="274">
        <f t="shared" si="16"/>
        <v>2.0357804834763655</v>
      </c>
      <c r="G93" s="318" t="s">
        <v>772</v>
      </c>
      <c r="H93" s="276" t="s">
        <v>773</v>
      </c>
      <c r="I93" s="276" t="s">
        <v>133</v>
      </c>
      <c r="J93" s="277">
        <v>0.18</v>
      </c>
      <c r="K93" s="278">
        <v>0.08</v>
      </c>
      <c r="L93" s="278">
        <v>0.31</v>
      </c>
      <c r="M93" s="322">
        <f t="shared" si="18"/>
        <v>4.4497934065057168</v>
      </c>
      <c r="N93" s="336">
        <f t="shared" si="18"/>
        <v>1.9776859584469852</v>
      </c>
      <c r="O93" s="337">
        <f t="shared" si="18"/>
        <v>7.6635330889820672</v>
      </c>
      <c r="P93" s="322">
        <f t="shared" si="19"/>
        <v>3.6644048702574579</v>
      </c>
      <c r="Q93" s="336">
        <f t="shared" si="22"/>
        <v>1.6286243867810923</v>
      </c>
      <c r="R93" s="337">
        <f t="shared" si="23"/>
        <v>6.3109194987767321</v>
      </c>
      <c r="S93" s="277" t="s">
        <v>37</v>
      </c>
      <c r="T93" s="283" t="s">
        <v>37</v>
      </c>
      <c r="U93" s="304" t="s">
        <v>582</v>
      </c>
      <c r="V93" s="377" t="s">
        <v>712</v>
      </c>
      <c r="W93" s="378">
        <f t="shared" si="17"/>
        <v>3.6644048702574579</v>
      </c>
    </row>
    <row r="94" spans="1:23" x14ac:dyDescent="0.2">
      <c r="A94" s="269">
        <v>26.6</v>
      </c>
      <c r="B94" s="270">
        <f t="shared" si="13"/>
        <v>299.75</v>
      </c>
      <c r="C94" s="271">
        <f t="shared" si="14"/>
        <v>9.1975027689741449</v>
      </c>
      <c r="D94" s="272">
        <v>7.8</v>
      </c>
      <c r="E94" s="273">
        <f t="shared" si="15"/>
        <v>3.849878881517866E-2</v>
      </c>
      <c r="F94" s="274">
        <f t="shared" si="16"/>
        <v>3.8498788815178662</v>
      </c>
      <c r="G94" s="318" t="s">
        <v>774</v>
      </c>
      <c r="H94" s="276" t="s">
        <v>775</v>
      </c>
      <c r="I94" s="276" t="s">
        <v>133</v>
      </c>
      <c r="J94" s="277">
        <v>0.12</v>
      </c>
      <c r="K94" s="278">
        <v>0.06</v>
      </c>
      <c r="L94" s="379">
        <v>0.2</v>
      </c>
      <c r="M94" s="322">
        <f t="shared" si="18"/>
        <v>5.6100238710642856</v>
      </c>
      <c r="N94" s="336">
        <f t="shared" si="18"/>
        <v>2.8050119355321428</v>
      </c>
      <c r="O94" s="337">
        <f t="shared" si="18"/>
        <v>9.3500397851071426</v>
      </c>
      <c r="P94" s="322">
        <f t="shared" si="19"/>
        <v>4.6198546578214392</v>
      </c>
      <c r="Q94" s="336">
        <f t="shared" si="22"/>
        <v>2.3099273289107196</v>
      </c>
      <c r="R94" s="337">
        <f t="shared" si="23"/>
        <v>7.6997577630357323</v>
      </c>
      <c r="S94" s="277" t="s">
        <v>37</v>
      </c>
      <c r="T94" s="283" t="s">
        <v>37</v>
      </c>
      <c r="U94" s="304" t="s">
        <v>582</v>
      </c>
      <c r="V94" s="377" t="s">
        <v>712</v>
      </c>
      <c r="W94" s="378">
        <f t="shared" si="17"/>
        <v>4.6198546578214392</v>
      </c>
    </row>
    <row r="95" spans="1:23" x14ac:dyDescent="0.2">
      <c r="A95" s="286">
        <v>27.1</v>
      </c>
      <c r="B95" s="287">
        <f t="shared" si="13"/>
        <v>300.25</v>
      </c>
      <c r="C95" s="288">
        <f t="shared" si="14"/>
        <v>9.1823365362198164</v>
      </c>
      <c r="D95" s="289">
        <v>8.1</v>
      </c>
      <c r="E95" s="290">
        <f t="shared" si="15"/>
        <v>7.6408779027351284E-2</v>
      </c>
      <c r="F95" s="291">
        <f t="shared" si="16"/>
        <v>7.6408779027351281</v>
      </c>
      <c r="G95" s="325" t="s">
        <v>776</v>
      </c>
      <c r="H95" s="226" t="s">
        <v>777</v>
      </c>
      <c r="I95" s="226" t="s">
        <v>133</v>
      </c>
      <c r="J95" s="293">
        <v>0.12</v>
      </c>
      <c r="K95" s="294">
        <v>0.05</v>
      </c>
      <c r="L95" s="294">
        <v>0.21</v>
      </c>
      <c r="M95" s="380">
        <f t="shared" si="18"/>
        <v>11.134248309996543</v>
      </c>
      <c r="N95" s="381">
        <f t="shared" si="18"/>
        <v>4.6392701291652267</v>
      </c>
      <c r="O95" s="382">
        <f t="shared" si="18"/>
        <v>19.484934542493949</v>
      </c>
      <c r="P95" s="380">
        <f t="shared" si="19"/>
        <v>9.1690534832821537</v>
      </c>
      <c r="Q95" s="381">
        <f t="shared" si="22"/>
        <v>3.8204389513675645</v>
      </c>
      <c r="R95" s="382">
        <f t="shared" si="23"/>
        <v>16.045843595743769</v>
      </c>
      <c r="S95" s="293" t="s">
        <v>37</v>
      </c>
      <c r="T95" s="299" t="s">
        <v>37</v>
      </c>
      <c r="U95" s="312" t="s">
        <v>582</v>
      </c>
      <c r="V95" s="383" t="s">
        <v>712</v>
      </c>
      <c r="W95" s="384">
        <f t="shared" si="17"/>
        <v>9.1690534832821537</v>
      </c>
    </row>
    <row r="96" spans="1:23" x14ac:dyDescent="0.2">
      <c r="A96" s="269">
        <v>29.3</v>
      </c>
      <c r="B96" s="270">
        <f t="shared" si="13"/>
        <v>302.45</v>
      </c>
      <c r="C96" s="271">
        <f t="shared" si="14"/>
        <v>9.1162008298892392</v>
      </c>
      <c r="D96" s="272">
        <v>6.1</v>
      </c>
      <c r="E96" s="273">
        <f t="shared" si="15"/>
        <v>9.6245621085922525E-4</v>
      </c>
      <c r="F96" s="385">
        <f t="shared" si="16"/>
        <v>9.6245621085922523E-2</v>
      </c>
      <c r="G96" s="386" t="s">
        <v>778</v>
      </c>
      <c r="H96" s="276" t="s">
        <v>779</v>
      </c>
      <c r="I96" s="276" t="s">
        <v>133</v>
      </c>
      <c r="J96" s="277">
        <v>66.03</v>
      </c>
      <c r="K96" s="278">
        <v>47.23</v>
      </c>
      <c r="L96" s="278">
        <v>81.62</v>
      </c>
      <c r="M96" s="306">
        <f t="shared" ref="M96:O100" si="24">P96/0.8235</f>
        <v>77.171807653958282</v>
      </c>
      <c r="N96" s="319">
        <f t="shared" si="24"/>
        <v>55.199522573019074</v>
      </c>
      <c r="O96" s="344">
        <f t="shared" si="24"/>
        <v>95.392441931183924</v>
      </c>
      <c r="P96" s="306">
        <f t="shared" si="19"/>
        <v>63.550983603034645</v>
      </c>
      <c r="Q96" s="319">
        <f t="shared" si="22"/>
        <v>45.456806838881207</v>
      </c>
      <c r="R96" s="344">
        <f t="shared" si="23"/>
        <v>78.555675930329969</v>
      </c>
      <c r="S96" s="259">
        <v>77</v>
      </c>
      <c r="T96" s="387">
        <f>S96*14/17</f>
        <v>63.411764705882355</v>
      </c>
      <c r="U96" s="266">
        <f t="shared" ref="U96:U103" si="25">M96/T96*100</f>
        <v>121.69951114260581</v>
      </c>
      <c r="V96" s="350" t="s">
        <v>706</v>
      </c>
      <c r="W96" s="311">
        <f t="shared" si="17"/>
        <v>63.411764705882355</v>
      </c>
    </row>
    <row r="97" spans="1:24" x14ac:dyDescent="0.2">
      <c r="A97" s="269">
        <v>28.5</v>
      </c>
      <c r="B97" s="270">
        <f t="shared" si="13"/>
        <v>301.64999999999998</v>
      </c>
      <c r="C97" s="271">
        <f t="shared" si="14"/>
        <v>9.1401385612464789</v>
      </c>
      <c r="D97" s="272">
        <v>5.9</v>
      </c>
      <c r="E97" s="273">
        <f t="shared" si="15"/>
        <v>5.7492564340987475E-4</v>
      </c>
      <c r="F97" s="385">
        <f t="shared" si="16"/>
        <v>5.7492564340987477E-2</v>
      </c>
      <c r="G97" s="386" t="s">
        <v>780</v>
      </c>
      <c r="H97" s="276" t="s">
        <v>781</v>
      </c>
      <c r="I97" s="276" t="s">
        <v>133</v>
      </c>
      <c r="J97" s="277">
        <v>22.4</v>
      </c>
      <c r="K97" s="278">
        <v>14.62</v>
      </c>
      <c r="L97" s="278">
        <v>27.13</v>
      </c>
      <c r="M97" s="306">
        <f t="shared" si="24"/>
        <v>15.638536019892159</v>
      </c>
      <c r="N97" s="319">
        <f t="shared" si="24"/>
        <v>10.206937348697473</v>
      </c>
      <c r="O97" s="344">
        <f t="shared" si="24"/>
        <v>18.940780456235462</v>
      </c>
      <c r="P97" s="306">
        <f t="shared" si="19"/>
        <v>12.878334412381193</v>
      </c>
      <c r="Q97" s="319">
        <f t="shared" si="22"/>
        <v>8.4054129066523693</v>
      </c>
      <c r="R97" s="344">
        <f t="shared" si="23"/>
        <v>15.597732705709902</v>
      </c>
      <c r="S97" s="277">
        <v>15</v>
      </c>
      <c r="T97" s="347">
        <f t="shared" ref="T97:T106" si="26">S97*14/17</f>
        <v>12.352941176470589</v>
      </c>
      <c r="U97" s="284">
        <f t="shared" si="25"/>
        <v>126.59767254198415</v>
      </c>
      <c r="V97" s="351" t="s">
        <v>706</v>
      </c>
      <c r="W97" s="307">
        <f t="shared" si="17"/>
        <v>12.352941176470589</v>
      </c>
    </row>
    <row r="98" spans="1:24" x14ac:dyDescent="0.2">
      <c r="A98" s="269">
        <v>26.9</v>
      </c>
      <c r="B98" s="270">
        <f t="shared" si="13"/>
        <v>300.04999999999995</v>
      </c>
      <c r="C98" s="271">
        <f t="shared" si="14"/>
        <v>9.1883969638393612</v>
      </c>
      <c r="D98" s="272">
        <v>6.2</v>
      </c>
      <c r="E98" s="273">
        <f t="shared" si="15"/>
        <v>1.0260232713339903E-3</v>
      </c>
      <c r="F98" s="274">
        <f t="shared" si="16"/>
        <v>0.10260232713339902</v>
      </c>
      <c r="G98" s="386" t="s">
        <v>782</v>
      </c>
      <c r="H98" s="276" t="s">
        <v>783</v>
      </c>
      <c r="I98" s="276" t="s">
        <v>133</v>
      </c>
      <c r="J98" s="277">
        <v>1.82</v>
      </c>
      <c r="K98" s="278">
        <v>0.67</v>
      </c>
      <c r="L98" s="278">
        <v>2.85</v>
      </c>
      <c r="M98" s="322">
        <f t="shared" si="24"/>
        <v>2.267592415091515</v>
      </c>
      <c r="N98" s="336">
        <f t="shared" si="24"/>
        <v>0.83477303192929397</v>
      </c>
      <c r="O98" s="337">
        <f t="shared" si="24"/>
        <v>3.5509002104455036</v>
      </c>
      <c r="P98" s="322">
        <f t="shared" si="19"/>
        <v>1.8673623538278625</v>
      </c>
      <c r="Q98" s="336">
        <f t="shared" si="22"/>
        <v>0.68743559179377356</v>
      </c>
      <c r="R98" s="337">
        <f t="shared" si="23"/>
        <v>2.9241663233018724</v>
      </c>
      <c r="S98" s="277">
        <v>2</v>
      </c>
      <c r="T98" s="388">
        <f t="shared" si="26"/>
        <v>1.6470588235294117</v>
      </c>
      <c r="U98" s="284">
        <f t="shared" si="25"/>
        <v>137.6752537734134</v>
      </c>
      <c r="V98" s="351" t="s">
        <v>706</v>
      </c>
      <c r="W98" s="378">
        <f t="shared" si="17"/>
        <v>1.6470588235294117</v>
      </c>
    </row>
    <row r="99" spans="1:24" x14ac:dyDescent="0.2">
      <c r="A99" s="269">
        <v>27.5</v>
      </c>
      <c r="B99" s="270">
        <f t="shared" si="13"/>
        <v>300.64999999999998</v>
      </c>
      <c r="C99" s="271">
        <f t="shared" si="14"/>
        <v>9.1702398702810584</v>
      </c>
      <c r="D99" s="389">
        <v>6</v>
      </c>
      <c r="E99" s="273">
        <f t="shared" si="15"/>
        <v>6.7525338793547477E-4</v>
      </c>
      <c r="F99" s="385">
        <f t="shared" si="16"/>
        <v>6.7525338793547482E-2</v>
      </c>
      <c r="G99" s="386" t="s">
        <v>784</v>
      </c>
      <c r="H99" s="276" t="s">
        <v>785</v>
      </c>
      <c r="I99" s="276" t="s">
        <v>133</v>
      </c>
      <c r="J99" s="277">
        <v>26.92</v>
      </c>
      <c r="K99" s="278">
        <v>15.33</v>
      </c>
      <c r="L99" s="278">
        <v>35.03</v>
      </c>
      <c r="M99" s="306">
        <f t="shared" si="24"/>
        <v>22.073856955947758</v>
      </c>
      <c r="N99" s="319">
        <f t="shared" si="24"/>
        <v>12.570290755374412</v>
      </c>
      <c r="O99" s="344">
        <f t="shared" si="24"/>
        <v>28.723893356866643</v>
      </c>
      <c r="P99" s="306">
        <f t="shared" si="19"/>
        <v>18.17782120322298</v>
      </c>
      <c r="Q99" s="319">
        <f t="shared" si="22"/>
        <v>10.351634437050828</v>
      </c>
      <c r="R99" s="344">
        <f t="shared" si="23"/>
        <v>23.654126179379681</v>
      </c>
      <c r="S99" s="277">
        <v>22</v>
      </c>
      <c r="T99" s="347">
        <f t="shared" si="26"/>
        <v>18.117647058823529</v>
      </c>
      <c r="U99" s="284">
        <f t="shared" si="25"/>
        <v>121.83622345815321</v>
      </c>
      <c r="V99" s="351" t="s">
        <v>706</v>
      </c>
      <c r="W99" s="307">
        <f t="shared" si="17"/>
        <v>18.117647058823529</v>
      </c>
    </row>
    <row r="100" spans="1:24" x14ac:dyDescent="0.2">
      <c r="A100" s="269">
        <v>29.8</v>
      </c>
      <c r="B100" s="270">
        <f t="shared" si="13"/>
        <v>302.95</v>
      </c>
      <c r="C100" s="271">
        <f t="shared" si="14"/>
        <v>9.1013039478461799</v>
      </c>
      <c r="D100" s="272">
        <v>6.1</v>
      </c>
      <c r="E100" s="273">
        <f t="shared" si="15"/>
        <v>9.9600902892968196E-4</v>
      </c>
      <c r="F100" s="385">
        <f>E100*100</f>
        <v>9.9600902892968191E-2</v>
      </c>
      <c r="G100" s="386" t="s">
        <v>786</v>
      </c>
      <c r="H100" s="276" t="s">
        <v>787</v>
      </c>
      <c r="I100" s="276" t="s">
        <v>133</v>
      </c>
      <c r="J100" s="277">
        <v>16.73</v>
      </c>
      <c r="K100" s="278">
        <v>6.14</v>
      </c>
      <c r="L100" s="278">
        <v>26.35</v>
      </c>
      <c r="M100" s="306">
        <f t="shared" si="24"/>
        <v>20.234646088638229</v>
      </c>
      <c r="N100" s="319">
        <f t="shared" si="24"/>
        <v>7.4262239679760143</v>
      </c>
      <c r="O100" s="344">
        <f t="shared" si="24"/>
        <v>31.869869960287939</v>
      </c>
      <c r="P100" s="306">
        <f t="shared" si="19"/>
        <v>16.663231053993581</v>
      </c>
      <c r="Q100" s="319">
        <f t="shared" si="22"/>
        <v>6.1154954376282475</v>
      </c>
      <c r="R100" s="344">
        <f t="shared" si="23"/>
        <v>26.244837912297118</v>
      </c>
      <c r="S100" s="277">
        <v>20</v>
      </c>
      <c r="T100" s="347">
        <f t="shared" si="26"/>
        <v>16.470588235294116</v>
      </c>
      <c r="U100" s="284">
        <f t="shared" si="25"/>
        <v>122.85320839530354</v>
      </c>
      <c r="V100" s="351" t="s">
        <v>706</v>
      </c>
      <c r="W100" s="307">
        <f t="shared" si="17"/>
        <v>16.470588235294116</v>
      </c>
    </row>
    <row r="101" spans="1:24" x14ac:dyDescent="0.2">
      <c r="A101" s="269">
        <v>29.8</v>
      </c>
      <c r="B101" s="270">
        <f>273.15+A101</f>
        <v>302.95</v>
      </c>
      <c r="C101" s="271">
        <f>0.09018+(2729.92/B101)</f>
        <v>9.1013039478461799</v>
      </c>
      <c r="D101" s="272">
        <v>6.1</v>
      </c>
      <c r="E101" s="273">
        <f>1/(POWER(10,C101-D101)+1)</f>
        <v>9.9600902892968196E-4</v>
      </c>
      <c r="F101" s="385">
        <f>E101*100</f>
        <v>9.9600902892968191E-2</v>
      </c>
      <c r="G101" s="386" t="s">
        <v>788</v>
      </c>
      <c r="H101" s="276" t="s">
        <v>789</v>
      </c>
      <c r="I101" s="276" t="s">
        <v>133</v>
      </c>
      <c r="J101" s="277">
        <v>22.56</v>
      </c>
      <c r="K101" s="278" t="s">
        <v>37</v>
      </c>
      <c r="L101" s="278">
        <v>32.78</v>
      </c>
      <c r="M101" s="306">
        <f>P101/0.8235</f>
        <v>27.285930410022615</v>
      </c>
      <c r="N101" s="280" t="s">
        <v>582</v>
      </c>
      <c r="O101" s="344">
        <f>R101/0.8235</f>
        <v>39.646843920236755</v>
      </c>
      <c r="P101" s="306">
        <f>J101*(F101/100)*1000</f>
        <v>22.469963692653625</v>
      </c>
      <c r="Q101" s="280" t="s">
        <v>37</v>
      </c>
      <c r="R101" s="344">
        <f>L101*(F101/100)*1000</f>
        <v>32.649175968314971</v>
      </c>
      <c r="S101" s="277" t="s">
        <v>37</v>
      </c>
      <c r="T101" s="347" t="s">
        <v>37</v>
      </c>
      <c r="U101" s="390" t="s">
        <v>582</v>
      </c>
      <c r="V101" s="377" t="s">
        <v>712</v>
      </c>
      <c r="W101" s="307">
        <f>IF(V101="R",T101,IF(V101="C",P101))</f>
        <v>22.469963692653625</v>
      </c>
    </row>
    <row r="102" spans="1:24" x14ac:dyDescent="0.2">
      <c r="A102" s="269">
        <v>29.8</v>
      </c>
      <c r="B102" s="270">
        <f>273.15+A102</f>
        <v>302.95</v>
      </c>
      <c r="C102" s="271">
        <f>0.09018+(2729.92/B102)</f>
        <v>9.1013039478461799</v>
      </c>
      <c r="D102" s="272">
        <v>6.1</v>
      </c>
      <c r="E102" s="273">
        <f>1/(POWER(10,C102-D102)+1)</f>
        <v>9.9600902892968196E-4</v>
      </c>
      <c r="F102" s="385">
        <f>E102*100</f>
        <v>9.9600902892968191E-2</v>
      </c>
      <c r="G102" s="386" t="s">
        <v>790</v>
      </c>
      <c r="H102" s="276" t="s">
        <v>791</v>
      </c>
      <c r="I102" s="276" t="s">
        <v>133</v>
      </c>
      <c r="J102" s="277">
        <v>26.32</v>
      </c>
      <c r="K102" s="278" t="s">
        <v>37</v>
      </c>
      <c r="L102" s="278">
        <v>38.6</v>
      </c>
      <c r="M102" s="306">
        <f>P102/0.8235</f>
        <v>31.833585478359719</v>
      </c>
      <c r="N102" s="280" t="s">
        <v>582</v>
      </c>
      <c r="O102" s="344">
        <f>R102/0.8235</f>
        <v>46.686033414311751</v>
      </c>
      <c r="P102" s="306">
        <f>J102*(F102/100)*1000</f>
        <v>26.21495764142923</v>
      </c>
      <c r="Q102" s="280" t="s">
        <v>37</v>
      </c>
      <c r="R102" s="344">
        <f>L102*(F102/100)*1000</f>
        <v>38.445948516685725</v>
      </c>
      <c r="S102" s="277" t="s">
        <v>37</v>
      </c>
      <c r="T102" s="347" t="s">
        <v>37</v>
      </c>
      <c r="U102" s="304" t="s">
        <v>582</v>
      </c>
      <c r="V102" s="377" t="s">
        <v>712</v>
      </c>
      <c r="W102" s="307">
        <f>IF(V102="R",T102,IF(V102="C",P102))</f>
        <v>26.21495764142923</v>
      </c>
    </row>
    <row r="103" spans="1:24" x14ac:dyDescent="0.2">
      <c r="A103" s="269">
        <v>27.1</v>
      </c>
      <c r="B103" s="270">
        <f t="shared" si="13"/>
        <v>300.25</v>
      </c>
      <c r="C103" s="271">
        <f t="shared" si="14"/>
        <v>9.1823365362198164</v>
      </c>
      <c r="D103" s="272">
        <v>6.1</v>
      </c>
      <c r="E103" s="273">
        <f t="shared" si="15"/>
        <v>8.2661697621026493E-4</v>
      </c>
      <c r="F103" s="385">
        <f t="shared" si="16"/>
        <v>8.2661697621026486E-2</v>
      </c>
      <c r="G103" s="386" t="s">
        <v>792</v>
      </c>
      <c r="H103" s="276" t="s">
        <v>793</v>
      </c>
      <c r="I103" s="276" t="s">
        <v>133</v>
      </c>
      <c r="J103" s="277">
        <v>5.39</v>
      </c>
      <c r="K103" s="278" t="s">
        <v>37</v>
      </c>
      <c r="L103" s="278">
        <v>8.5399999999999991</v>
      </c>
      <c r="M103" s="306">
        <f t="shared" ref="M103:N107" si="27">P103/0.8235</f>
        <v>5.4104013379153946</v>
      </c>
      <c r="N103" s="319" t="s">
        <v>582</v>
      </c>
      <c r="O103" s="344">
        <f t="shared" ref="O103:O106" si="28">R103/0.8235</f>
        <v>8.5723241977360782</v>
      </c>
      <c r="P103" s="306">
        <f t="shared" si="19"/>
        <v>4.4554655017733271</v>
      </c>
      <c r="Q103" s="319" t="s">
        <v>37</v>
      </c>
      <c r="R103" s="344">
        <f t="shared" si="23"/>
        <v>7.0593089768356609</v>
      </c>
      <c r="S103" s="277">
        <v>5</v>
      </c>
      <c r="T103" s="391">
        <f t="shared" si="26"/>
        <v>4.117647058823529</v>
      </c>
      <c r="U103" s="284">
        <f t="shared" si="25"/>
        <v>131.39546106365961</v>
      </c>
      <c r="V103" s="351" t="s">
        <v>706</v>
      </c>
      <c r="W103" s="378">
        <f t="shared" si="17"/>
        <v>4.117647058823529</v>
      </c>
    </row>
    <row r="104" spans="1:24" x14ac:dyDescent="0.2">
      <c r="A104" s="252">
        <v>27.2</v>
      </c>
      <c r="B104" s="253">
        <f t="shared" si="13"/>
        <v>300.34999999999997</v>
      </c>
      <c r="C104" s="254">
        <f t="shared" si="14"/>
        <v>9.1793093490927262</v>
      </c>
      <c r="D104" s="255">
        <v>5.99</v>
      </c>
      <c r="E104" s="256">
        <f t="shared" si="15"/>
        <v>6.4626389139919925E-4</v>
      </c>
      <c r="F104" s="392">
        <f t="shared" si="16"/>
        <v>6.4626389139919929E-2</v>
      </c>
      <c r="G104" s="393" t="s">
        <v>794</v>
      </c>
      <c r="H104" s="212" t="s">
        <v>795</v>
      </c>
      <c r="I104" s="212" t="s">
        <v>133</v>
      </c>
      <c r="J104" s="259">
        <v>3.68</v>
      </c>
      <c r="K104" s="260">
        <v>1.91</v>
      </c>
      <c r="L104" s="260">
        <v>4.9800000000000004</v>
      </c>
      <c r="M104" s="373">
        <f t="shared" si="27"/>
        <v>2.8879795025489412</v>
      </c>
      <c r="N104" s="331">
        <f t="shared" si="27"/>
        <v>1.4989241439859995</v>
      </c>
      <c r="O104" s="332">
        <f t="shared" si="28"/>
        <v>3.908189652905905</v>
      </c>
      <c r="P104" s="373">
        <f t="shared" si="19"/>
        <v>2.3782511203490531</v>
      </c>
      <c r="Q104" s="331">
        <f t="shared" ref="Q104:Q106" si="29">K104*(F104/100)*1000</f>
        <v>1.2343640325724705</v>
      </c>
      <c r="R104" s="332">
        <f t="shared" si="23"/>
        <v>3.2183941791680128</v>
      </c>
      <c r="S104" s="259">
        <v>2.89</v>
      </c>
      <c r="T104" s="388">
        <f t="shared" si="26"/>
        <v>2.38</v>
      </c>
      <c r="U104" s="266">
        <f>M104/T104*100</f>
        <v>121.34367657768661</v>
      </c>
      <c r="V104" s="350" t="s">
        <v>706</v>
      </c>
      <c r="W104" s="375">
        <f t="shared" si="17"/>
        <v>2.38</v>
      </c>
    </row>
    <row r="105" spans="1:24" x14ac:dyDescent="0.2">
      <c r="A105" s="269">
        <v>27.2</v>
      </c>
      <c r="B105" s="270">
        <f t="shared" si="13"/>
        <v>300.34999999999997</v>
      </c>
      <c r="C105" s="271">
        <f t="shared" si="14"/>
        <v>9.1793093490927262</v>
      </c>
      <c r="D105" s="272">
        <v>6.02</v>
      </c>
      <c r="E105" s="273">
        <f t="shared" si="15"/>
        <v>6.9245223053156712E-4</v>
      </c>
      <c r="F105" s="385">
        <f t="shared" si="16"/>
        <v>6.924522305315671E-2</v>
      </c>
      <c r="G105" s="386" t="s">
        <v>796</v>
      </c>
      <c r="H105" s="276" t="s">
        <v>797</v>
      </c>
      <c r="I105" s="276" t="s">
        <v>133</v>
      </c>
      <c r="J105" s="277">
        <v>2.78</v>
      </c>
      <c r="K105" s="278">
        <v>1.62</v>
      </c>
      <c r="L105" s="278">
        <v>3.71</v>
      </c>
      <c r="M105" s="322">
        <f t="shared" si="27"/>
        <v>2.3376043726505844</v>
      </c>
      <c r="N105" s="336">
        <f t="shared" si="27"/>
        <v>1.3622011092424271</v>
      </c>
      <c r="O105" s="337">
        <f t="shared" si="28"/>
        <v>3.119608713141607</v>
      </c>
      <c r="P105" s="322">
        <f t="shared" si="19"/>
        <v>1.9250172008777564</v>
      </c>
      <c r="Q105" s="336">
        <f t="shared" si="29"/>
        <v>1.1217726134611388</v>
      </c>
      <c r="R105" s="337">
        <f t="shared" si="23"/>
        <v>2.5689977752721136</v>
      </c>
      <c r="S105" s="277">
        <v>2.44</v>
      </c>
      <c r="T105" s="388">
        <f t="shared" si="26"/>
        <v>2.0094117647058822</v>
      </c>
      <c r="U105" s="284">
        <f>M105/T105*100</f>
        <v>116.33277030169771</v>
      </c>
      <c r="V105" s="351" t="s">
        <v>706</v>
      </c>
      <c r="W105" s="378">
        <f t="shared" si="17"/>
        <v>2.0094117647058822</v>
      </c>
    </row>
    <row r="106" spans="1:24" x14ac:dyDescent="0.2">
      <c r="A106" s="286">
        <v>27.2</v>
      </c>
      <c r="B106" s="287">
        <f t="shared" si="13"/>
        <v>300.34999999999997</v>
      </c>
      <c r="C106" s="288">
        <f t="shared" si="14"/>
        <v>9.1793093490927262</v>
      </c>
      <c r="D106" s="289">
        <v>6.02</v>
      </c>
      <c r="E106" s="290">
        <f t="shared" si="15"/>
        <v>6.9245223053156712E-4</v>
      </c>
      <c r="F106" s="394">
        <f t="shared" si="16"/>
        <v>6.924522305315671E-2</v>
      </c>
      <c r="G106" s="395" t="s">
        <v>798</v>
      </c>
      <c r="H106" s="226" t="s">
        <v>799</v>
      </c>
      <c r="I106" s="226" t="s">
        <v>133</v>
      </c>
      <c r="J106" s="396">
        <v>2.9</v>
      </c>
      <c r="K106" s="294">
        <v>1.0900000000000001</v>
      </c>
      <c r="L106" s="294">
        <v>3.87</v>
      </c>
      <c r="M106" s="380">
        <f t="shared" si="27"/>
        <v>2.4385081585203943</v>
      </c>
      <c r="N106" s="381">
        <f t="shared" si="27"/>
        <v>0.916542721650769</v>
      </c>
      <c r="O106" s="382">
        <f t="shared" si="28"/>
        <v>3.254147094301354</v>
      </c>
      <c r="P106" s="380">
        <f t="shared" si="19"/>
        <v>2.0081114685415447</v>
      </c>
      <c r="Q106" s="381">
        <f t="shared" si="29"/>
        <v>0.75477293127940825</v>
      </c>
      <c r="R106" s="382">
        <f t="shared" si="23"/>
        <v>2.6797901321571649</v>
      </c>
      <c r="S106" s="293">
        <v>2.34</v>
      </c>
      <c r="T106" s="388">
        <f t="shared" si="26"/>
        <v>1.9270588235294117</v>
      </c>
      <c r="U106" s="300">
        <f>M106/T106*100</f>
        <v>126.54041115643071</v>
      </c>
      <c r="V106" s="353" t="s">
        <v>706</v>
      </c>
      <c r="W106" s="384">
        <f t="shared" si="17"/>
        <v>1.9270588235294117</v>
      </c>
    </row>
    <row r="107" spans="1:24" x14ac:dyDescent="0.2">
      <c r="A107" s="354">
        <v>15.3</v>
      </c>
      <c r="B107" s="355">
        <f t="shared" si="13"/>
        <v>288.45</v>
      </c>
      <c r="C107" s="356">
        <f t="shared" si="14"/>
        <v>9.5542812307158957</v>
      </c>
      <c r="D107" s="357">
        <v>8.1</v>
      </c>
      <c r="E107" s="358">
        <f t="shared" si="15"/>
        <v>3.394083287327649E-2</v>
      </c>
      <c r="F107" s="359">
        <f t="shared" si="16"/>
        <v>3.394083287327649</v>
      </c>
      <c r="G107" s="397" t="s">
        <v>119</v>
      </c>
      <c r="H107" s="361" t="s">
        <v>800</v>
      </c>
      <c r="I107" s="361" t="s">
        <v>54</v>
      </c>
      <c r="J107" s="398">
        <v>2.1</v>
      </c>
      <c r="K107" s="363"/>
      <c r="L107" s="363"/>
      <c r="M107" s="399">
        <f t="shared" si="27"/>
        <v>86.552214977389951</v>
      </c>
      <c r="N107" s="365"/>
      <c r="O107" s="366"/>
      <c r="P107" s="399">
        <f t="shared" si="19"/>
        <v>71.275749033880629</v>
      </c>
      <c r="Q107" s="365"/>
      <c r="R107" s="366"/>
      <c r="S107" s="400">
        <f t="shared" ref="S107:S149" si="30">T107*17/14</f>
        <v>85</v>
      </c>
      <c r="T107" s="368">
        <v>70</v>
      </c>
      <c r="U107" s="369">
        <f t="shared" ref="U107" si="31">M107/T107*100</f>
        <v>123.64602139627137</v>
      </c>
      <c r="V107" s="401" t="s">
        <v>706</v>
      </c>
      <c r="W107" s="371">
        <f t="shared" si="17"/>
        <v>70</v>
      </c>
    </row>
    <row r="108" spans="1:24" x14ac:dyDescent="0.2">
      <c r="A108" s="354">
        <v>15.1</v>
      </c>
      <c r="B108" s="355">
        <f t="shared" si="13"/>
        <v>288.25</v>
      </c>
      <c r="C108" s="356">
        <f t="shared" si="14"/>
        <v>9.5608478230702527</v>
      </c>
      <c r="D108" s="357">
        <v>8.11</v>
      </c>
      <c r="E108" s="358">
        <f t="shared" si="15"/>
        <v>3.4201009414456161E-2</v>
      </c>
      <c r="F108" s="359">
        <f t="shared" si="16"/>
        <v>3.4201009414456163</v>
      </c>
      <c r="G108" s="397" t="s">
        <v>48</v>
      </c>
      <c r="H108" s="361" t="s">
        <v>801</v>
      </c>
      <c r="I108" s="361" t="s">
        <v>54</v>
      </c>
      <c r="J108" s="362" t="s">
        <v>37</v>
      </c>
      <c r="K108" s="363"/>
      <c r="L108" s="363"/>
      <c r="M108" s="402"/>
      <c r="N108" s="365"/>
      <c r="O108" s="366"/>
      <c r="P108" s="364"/>
      <c r="Q108" s="365"/>
      <c r="R108" s="366"/>
      <c r="S108" s="403">
        <f t="shared" si="30"/>
        <v>24.285714285714285</v>
      </c>
      <c r="T108" s="368">
        <v>20</v>
      </c>
      <c r="U108" s="404" t="s">
        <v>582</v>
      </c>
      <c r="V108" s="401" t="s">
        <v>706</v>
      </c>
      <c r="W108" s="371">
        <f t="shared" si="17"/>
        <v>20</v>
      </c>
    </row>
    <row r="109" spans="1:24" x14ac:dyDescent="0.2">
      <c r="A109" s="252">
        <v>22.3</v>
      </c>
      <c r="B109" s="253">
        <f t="shared" si="13"/>
        <v>295.45</v>
      </c>
      <c r="C109" s="254">
        <f t="shared" si="14"/>
        <v>9.3300513826366576</v>
      </c>
      <c r="D109" s="255">
        <v>8.68</v>
      </c>
      <c r="E109" s="256">
        <f t="shared" si="15"/>
        <v>0.18290348329853873</v>
      </c>
      <c r="F109" s="257">
        <f t="shared" si="16"/>
        <v>18.290348329853874</v>
      </c>
      <c r="G109" s="258" t="s">
        <v>235</v>
      </c>
      <c r="H109" s="212" t="s">
        <v>802</v>
      </c>
      <c r="I109" s="212" t="s">
        <v>54</v>
      </c>
      <c r="J109" s="259">
        <v>3.16</v>
      </c>
      <c r="K109" s="260"/>
      <c r="L109" s="260"/>
      <c r="M109" s="310">
        <f t="shared" ref="M109:M124" si="32">P109/0.8235</f>
        <v>701.85186062341518</v>
      </c>
      <c r="N109" s="262"/>
      <c r="O109" s="263"/>
      <c r="P109" s="310">
        <f t="shared" ref="P109:P124" si="33">J109*(F109/100)*1000</f>
        <v>577.97500722338236</v>
      </c>
      <c r="Q109" s="262"/>
      <c r="R109" s="263"/>
      <c r="S109" s="405">
        <f t="shared" si="30"/>
        <v>1050.3571428571429</v>
      </c>
      <c r="T109" s="265">
        <v>865</v>
      </c>
      <c r="U109" s="266">
        <f t="shared" ref="U109:U124" si="34">M109/T109*100</f>
        <v>81.138943424672277</v>
      </c>
      <c r="V109" s="267" t="s">
        <v>706</v>
      </c>
      <c r="W109" s="268">
        <f t="shared" si="17"/>
        <v>865</v>
      </c>
      <c r="X109" t="s">
        <v>803</v>
      </c>
    </row>
    <row r="110" spans="1:24" x14ac:dyDescent="0.2">
      <c r="A110" s="269">
        <v>22.3</v>
      </c>
      <c r="B110" s="270">
        <f t="shared" si="13"/>
        <v>295.45</v>
      </c>
      <c r="C110" s="271">
        <f t="shared" si="14"/>
        <v>9.3300513826366576</v>
      </c>
      <c r="D110" s="272">
        <v>6.6</v>
      </c>
      <c r="E110" s="273">
        <f t="shared" si="15"/>
        <v>1.8584067349021094E-3</v>
      </c>
      <c r="F110" s="274">
        <f t="shared" si="16"/>
        <v>0.18584067349021094</v>
      </c>
      <c r="G110" s="275" t="s">
        <v>240</v>
      </c>
      <c r="H110" s="276" t="s">
        <v>804</v>
      </c>
      <c r="I110" s="276" t="s">
        <v>54</v>
      </c>
      <c r="J110" s="305">
        <v>13</v>
      </c>
      <c r="K110" s="278"/>
      <c r="L110" s="278"/>
      <c r="M110" s="306">
        <f t="shared" si="32"/>
        <v>29.337325505437065</v>
      </c>
      <c r="N110" s="280"/>
      <c r="O110" s="281"/>
      <c r="P110" s="306">
        <f t="shared" si="33"/>
        <v>24.159287553727424</v>
      </c>
      <c r="Q110" s="280"/>
      <c r="R110" s="281"/>
      <c r="S110" s="305">
        <f t="shared" si="30"/>
        <v>41.528571428571432</v>
      </c>
      <c r="T110" s="283">
        <v>34.200000000000003</v>
      </c>
      <c r="U110" s="284">
        <f t="shared" si="34"/>
        <v>85.781653524669778</v>
      </c>
      <c r="V110" s="218" t="s">
        <v>706</v>
      </c>
      <c r="W110" s="307">
        <f t="shared" si="17"/>
        <v>34.200000000000003</v>
      </c>
    </row>
    <row r="111" spans="1:24" x14ac:dyDescent="0.2">
      <c r="A111" s="269">
        <v>22.3</v>
      </c>
      <c r="B111" s="270">
        <f t="shared" si="13"/>
        <v>295.45</v>
      </c>
      <c r="C111" s="271">
        <f t="shared" si="14"/>
        <v>9.3300513826366576</v>
      </c>
      <c r="D111" s="272">
        <v>7.25</v>
      </c>
      <c r="E111" s="273">
        <f t="shared" si="15"/>
        <v>8.2480574480836115E-3</v>
      </c>
      <c r="F111" s="274">
        <f t="shared" si="16"/>
        <v>0.82480574480836111</v>
      </c>
      <c r="G111" s="275" t="s">
        <v>242</v>
      </c>
      <c r="H111" s="276" t="s">
        <v>805</v>
      </c>
      <c r="I111" s="276" t="s">
        <v>54</v>
      </c>
      <c r="J111" s="277">
        <v>18.399999999999999</v>
      </c>
      <c r="K111" s="278"/>
      <c r="L111" s="278"/>
      <c r="M111" s="306">
        <f t="shared" si="32"/>
        <v>184.29175111686516</v>
      </c>
      <c r="N111" s="280"/>
      <c r="O111" s="281"/>
      <c r="P111" s="306">
        <f t="shared" si="33"/>
        <v>151.76425704473846</v>
      </c>
      <c r="Q111" s="280"/>
      <c r="R111" s="281"/>
      <c r="S111" s="406">
        <f t="shared" si="30"/>
        <v>221</v>
      </c>
      <c r="T111" s="283">
        <v>182</v>
      </c>
      <c r="U111" s="284">
        <f t="shared" si="34"/>
        <v>101.25920391036547</v>
      </c>
      <c r="V111" s="218" t="s">
        <v>706</v>
      </c>
      <c r="W111" s="285">
        <f t="shared" si="17"/>
        <v>182</v>
      </c>
    </row>
    <row r="112" spans="1:24" x14ac:dyDescent="0.2">
      <c r="A112" s="269">
        <v>22.3</v>
      </c>
      <c r="B112" s="270">
        <f t="shared" si="13"/>
        <v>295.45</v>
      </c>
      <c r="C112" s="271">
        <f t="shared" si="14"/>
        <v>9.3300513826366576</v>
      </c>
      <c r="D112" s="272">
        <v>8.68</v>
      </c>
      <c r="E112" s="273">
        <f t="shared" si="15"/>
        <v>0.18290348329853873</v>
      </c>
      <c r="F112" s="274">
        <f t="shared" si="16"/>
        <v>18.290348329853874</v>
      </c>
      <c r="G112" s="275" t="s">
        <v>244</v>
      </c>
      <c r="H112" s="276" t="s">
        <v>806</v>
      </c>
      <c r="I112" s="276" t="s">
        <v>54</v>
      </c>
      <c r="J112" s="277">
        <v>1.82</v>
      </c>
      <c r="K112" s="278"/>
      <c r="L112" s="278"/>
      <c r="M112" s="306">
        <f t="shared" si="32"/>
        <v>404.2311349160176</v>
      </c>
      <c r="N112" s="280"/>
      <c r="O112" s="281"/>
      <c r="P112" s="306">
        <f t="shared" si="33"/>
        <v>332.88433960334049</v>
      </c>
      <c r="Q112" s="280"/>
      <c r="R112" s="281"/>
      <c r="S112" s="406">
        <f t="shared" si="30"/>
        <v>525.78571428571433</v>
      </c>
      <c r="T112" s="283">
        <v>433</v>
      </c>
      <c r="U112" s="284">
        <f t="shared" si="34"/>
        <v>93.355920303930162</v>
      </c>
      <c r="V112" s="218" t="s">
        <v>706</v>
      </c>
      <c r="W112" s="285">
        <f t="shared" si="17"/>
        <v>433</v>
      </c>
    </row>
    <row r="113" spans="1:23" x14ac:dyDescent="0.2">
      <c r="A113" s="269">
        <v>22.3</v>
      </c>
      <c r="B113" s="270">
        <f t="shared" si="13"/>
        <v>295.45</v>
      </c>
      <c r="C113" s="271">
        <f t="shared" si="14"/>
        <v>9.3300513826366576</v>
      </c>
      <c r="D113" s="272">
        <v>6.6</v>
      </c>
      <c r="E113" s="273">
        <f t="shared" si="15"/>
        <v>1.8584067349021094E-3</v>
      </c>
      <c r="F113" s="274">
        <f t="shared" si="16"/>
        <v>0.18584067349021094</v>
      </c>
      <c r="G113" s="275" t="s">
        <v>245</v>
      </c>
      <c r="H113" s="276" t="s">
        <v>807</v>
      </c>
      <c r="I113" s="276" t="s">
        <v>54</v>
      </c>
      <c r="J113" s="277">
        <v>38.1</v>
      </c>
      <c r="K113" s="278"/>
      <c r="L113" s="278"/>
      <c r="M113" s="306">
        <f t="shared" si="32"/>
        <v>85.980930904396317</v>
      </c>
      <c r="N113" s="280"/>
      <c r="O113" s="281"/>
      <c r="P113" s="306">
        <f t="shared" si="33"/>
        <v>70.805296599770372</v>
      </c>
      <c r="Q113" s="280"/>
      <c r="R113" s="281"/>
      <c r="S113" s="406">
        <f t="shared" si="30"/>
        <v>114.50714285714285</v>
      </c>
      <c r="T113" s="283">
        <v>94.3</v>
      </c>
      <c r="U113" s="284">
        <f t="shared" si="34"/>
        <v>91.178081552912332</v>
      </c>
      <c r="V113" s="218" t="s">
        <v>706</v>
      </c>
      <c r="W113" s="307">
        <f t="shared" si="17"/>
        <v>94.3</v>
      </c>
    </row>
    <row r="114" spans="1:23" x14ac:dyDescent="0.2">
      <c r="A114" s="269">
        <v>22.3</v>
      </c>
      <c r="B114" s="270">
        <f t="shared" si="13"/>
        <v>295.45</v>
      </c>
      <c r="C114" s="271">
        <f t="shared" si="14"/>
        <v>9.3300513826366576</v>
      </c>
      <c r="D114" s="272">
        <v>7.25</v>
      </c>
      <c r="E114" s="273">
        <f t="shared" si="15"/>
        <v>8.2480574480836115E-3</v>
      </c>
      <c r="F114" s="274">
        <f t="shared" si="16"/>
        <v>0.82480574480836111</v>
      </c>
      <c r="G114" s="275" t="s">
        <v>246</v>
      </c>
      <c r="H114" s="276" t="s">
        <v>808</v>
      </c>
      <c r="I114" s="276" t="s">
        <v>54</v>
      </c>
      <c r="J114" s="277">
        <v>31.5</v>
      </c>
      <c r="K114" s="278"/>
      <c r="L114" s="278"/>
      <c r="M114" s="306">
        <f t="shared" si="32"/>
        <v>315.4994652272419</v>
      </c>
      <c r="N114" s="280"/>
      <c r="O114" s="281"/>
      <c r="P114" s="306">
        <f t="shared" si="33"/>
        <v>259.81380961463373</v>
      </c>
      <c r="Q114" s="280"/>
      <c r="R114" s="281"/>
      <c r="S114" s="406">
        <f t="shared" si="30"/>
        <v>367.92857142857144</v>
      </c>
      <c r="T114" s="283">
        <v>303</v>
      </c>
      <c r="U114" s="284">
        <f t="shared" si="34"/>
        <v>104.1252360485947</v>
      </c>
      <c r="V114" s="218" t="s">
        <v>706</v>
      </c>
      <c r="W114" s="285">
        <f t="shared" si="17"/>
        <v>303</v>
      </c>
    </row>
    <row r="115" spans="1:23" x14ac:dyDescent="0.2">
      <c r="A115" s="269">
        <v>22.3</v>
      </c>
      <c r="B115" s="270">
        <f t="shared" si="13"/>
        <v>295.45</v>
      </c>
      <c r="C115" s="271">
        <f t="shared" si="14"/>
        <v>9.3300513826366576</v>
      </c>
      <c r="D115" s="272">
        <v>7.83</v>
      </c>
      <c r="E115" s="273">
        <f t="shared" si="15"/>
        <v>3.0649914701603154E-2</v>
      </c>
      <c r="F115" s="274">
        <f t="shared" si="16"/>
        <v>3.0649914701603156</v>
      </c>
      <c r="G115" s="275" t="s">
        <v>247</v>
      </c>
      <c r="H115" s="276" t="s">
        <v>809</v>
      </c>
      <c r="I115" s="276" t="s">
        <v>54</v>
      </c>
      <c r="J115" s="277">
        <v>11.7</v>
      </c>
      <c r="K115" s="278"/>
      <c r="L115" s="278"/>
      <c r="M115" s="306">
        <f t="shared" si="32"/>
        <v>435.46326898452566</v>
      </c>
      <c r="N115" s="280"/>
      <c r="O115" s="281"/>
      <c r="P115" s="306">
        <f t="shared" si="33"/>
        <v>358.60400200875688</v>
      </c>
      <c r="Q115" s="280"/>
      <c r="R115" s="281"/>
      <c r="S115" s="406">
        <f t="shared" si="30"/>
        <v>573.14285714285711</v>
      </c>
      <c r="T115" s="283">
        <v>472</v>
      </c>
      <c r="U115" s="284">
        <f t="shared" si="34"/>
        <v>92.259167157738489</v>
      </c>
      <c r="V115" s="218" t="s">
        <v>706</v>
      </c>
      <c r="W115" s="285">
        <f t="shared" si="17"/>
        <v>472</v>
      </c>
    </row>
    <row r="116" spans="1:23" x14ac:dyDescent="0.2">
      <c r="A116" s="269">
        <v>22.3</v>
      </c>
      <c r="B116" s="270">
        <f t="shared" si="13"/>
        <v>295.45</v>
      </c>
      <c r="C116" s="271">
        <f t="shared" si="14"/>
        <v>9.3300513826366576</v>
      </c>
      <c r="D116" s="272">
        <v>8.68</v>
      </c>
      <c r="E116" s="273">
        <f t="shared" si="15"/>
        <v>0.18290348329853873</v>
      </c>
      <c r="F116" s="274">
        <f t="shared" si="16"/>
        <v>18.290348329853874</v>
      </c>
      <c r="G116" s="275" t="s">
        <v>249</v>
      </c>
      <c r="H116" s="276" t="s">
        <v>810</v>
      </c>
      <c r="I116" s="276" t="s">
        <v>54</v>
      </c>
      <c r="J116" s="277">
        <v>1.82</v>
      </c>
      <c r="K116" s="278"/>
      <c r="L116" s="278"/>
      <c r="M116" s="306">
        <f t="shared" si="32"/>
        <v>404.2311349160176</v>
      </c>
      <c r="N116" s="280"/>
      <c r="O116" s="281"/>
      <c r="P116" s="306">
        <f t="shared" si="33"/>
        <v>332.88433960334049</v>
      </c>
      <c r="Q116" s="280"/>
      <c r="R116" s="281"/>
      <c r="S116" s="406">
        <f t="shared" si="30"/>
        <v>525.78571428571433</v>
      </c>
      <c r="T116" s="283">
        <v>433</v>
      </c>
      <c r="U116" s="284">
        <f t="shared" si="34"/>
        <v>93.355920303930162</v>
      </c>
      <c r="V116" s="218" t="s">
        <v>706</v>
      </c>
      <c r="W116" s="285">
        <f t="shared" si="17"/>
        <v>433</v>
      </c>
    </row>
    <row r="117" spans="1:23" x14ac:dyDescent="0.2">
      <c r="A117" s="269">
        <v>22.3</v>
      </c>
      <c r="B117" s="270">
        <f t="shared" si="13"/>
        <v>295.45</v>
      </c>
      <c r="C117" s="271">
        <f t="shared" si="14"/>
        <v>9.3300513826366576</v>
      </c>
      <c r="D117" s="272">
        <v>6.6</v>
      </c>
      <c r="E117" s="273">
        <f t="shared" si="15"/>
        <v>1.8584067349021094E-3</v>
      </c>
      <c r="F117" s="274">
        <f t="shared" si="16"/>
        <v>0.18584067349021094</v>
      </c>
      <c r="G117" s="275" t="s">
        <v>250</v>
      </c>
      <c r="H117" s="276" t="s">
        <v>811</v>
      </c>
      <c r="I117" s="276" t="s">
        <v>54</v>
      </c>
      <c r="J117" s="277">
        <v>8.24</v>
      </c>
      <c r="K117" s="278"/>
      <c r="L117" s="278"/>
      <c r="M117" s="306">
        <f t="shared" si="32"/>
        <v>18.595350935753956</v>
      </c>
      <c r="N117" s="280"/>
      <c r="O117" s="281"/>
      <c r="P117" s="306">
        <f t="shared" si="33"/>
        <v>15.313271495593382</v>
      </c>
      <c r="Q117" s="280"/>
      <c r="R117" s="281"/>
      <c r="S117" s="406">
        <f t="shared" si="30"/>
        <v>26.107142857142858</v>
      </c>
      <c r="T117" s="283">
        <v>21.5</v>
      </c>
      <c r="U117" s="284">
        <f t="shared" si="34"/>
        <v>86.490004352343988</v>
      </c>
      <c r="V117" s="218" t="s">
        <v>706</v>
      </c>
      <c r="W117" s="307">
        <f t="shared" si="17"/>
        <v>21.5</v>
      </c>
    </row>
    <row r="118" spans="1:23" x14ac:dyDescent="0.2">
      <c r="A118" s="269">
        <v>22.3</v>
      </c>
      <c r="B118" s="270">
        <f t="shared" si="13"/>
        <v>295.45</v>
      </c>
      <c r="C118" s="271">
        <f t="shared" si="14"/>
        <v>9.3300513826366576</v>
      </c>
      <c r="D118" s="272">
        <v>7.25</v>
      </c>
      <c r="E118" s="273">
        <f t="shared" si="15"/>
        <v>8.2480574480836115E-3</v>
      </c>
      <c r="F118" s="274">
        <f t="shared" si="16"/>
        <v>0.82480574480836111</v>
      </c>
      <c r="G118" s="275" t="s">
        <v>251</v>
      </c>
      <c r="H118" s="276" t="s">
        <v>812</v>
      </c>
      <c r="I118" s="276" t="s">
        <v>54</v>
      </c>
      <c r="J118" s="277">
        <v>18.399999999999999</v>
      </c>
      <c r="K118" s="278"/>
      <c r="L118" s="278"/>
      <c r="M118" s="306">
        <f t="shared" si="32"/>
        <v>184.29175111686516</v>
      </c>
      <c r="N118" s="280"/>
      <c r="O118" s="281"/>
      <c r="P118" s="306">
        <f t="shared" si="33"/>
        <v>151.76425704473846</v>
      </c>
      <c r="Q118" s="280"/>
      <c r="R118" s="281"/>
      <c r="S118" s="406">
        <f t="shared" si="30"/>
        <v>221</v>
      </c>
      <c r="T118" s="283">
        <v>182</v>
      </c>
      <c r="U118" s="284">
        <f t="shared" si="34"/>
        <v>101.25920391036547</v>
      </c>
      <c r="V118" s="218" t="s">
        <v>706</v>
      </c>
      <c r="W118" s="285">
        <f t="shared" si="17"/>
        <v>182</v>
      </c>
    </row>
    <row r="119" spans="1:23" x14ac:dyDescent="0.2">
      <c r="A119" s="269">
        <v>22.3</v>
      </c>
      <c r="B119" s="270">
        <f t="shared" si="13"/>
        <v>295.45</v>
      </c>
      <c r="C119" s="271">
        <f t="shared" si="14"/>
        <v>9.3300513826366576</v>
      </c>
      <c r="D119" s="272">
        <v>7.83</v>
      </c>
      <c r="E119" s="273">
        <f t="shared" si="15"/>
        <v>3.0649914701603154E-2</v>
      </c>
      <c r="F119" s="274">
        <f t="shared" si="16"/>
        <v>3.0649914701603156</v>
      </c>
      <c r="G119" s="275" t="s">
        <v>252</v>
      </c>
      <c r="H119" s="276" t="s">
        <v>813</v>
      </c>
      <c r="I119" s="276" t="s">
        <v>54</v>
      </c>
      <c r="J119" s="277">
        <v>6.92</v>
      </c>
      <c r="K119" s="278"/>
      <c r="L119" s="278"/>
      <c r="M119" s="306">
        <f t="shared" si="32"/>
        <v>257.55605310879639</v>
      </c>
      <c r="N119" s="280"/>
      <c r="O119" s="281"/>
      <c r="P119" s="306">
        <f t="shared" si="33"/>
        <v>212.09740973509383</v>
      </c>
      <c r="Q119" s="280"/>
      <c r="R119" s="281"/>
      <c r="S119" s="406">
        <f t="shared" si="30"/>
        <v>332.71428571428572</v>
      </c>
      <c r="T119" s="283">
        <v>274</v>
      </c>
      <c r="U119" s="284">
        <f t="shared" si="34"/>
        <v>93.998559528757809</v>
      </c>
      <c r="V119" s="218" t="s">
        <v>706</v>
      </c>
      <c r="W119" s="285">
        <f t="shared" si="17"/>
        <v>274</v>
      </c>
    </row>
    <row r="120" spans="1:23" x14ac:dyDescent="0.2">
      <c r="A120" s="269">
        <v>22.3</v>
      </c>
      <c r="B120" s="270">
        <f t="shared" si="13"/>
        <v>295.45</v>
      </c>
      <c r="C120" s="271">
        <f t="shared" si="14"/>
        <v>9.3300513826366576</v>
      </c>
      <c r="D120" s="272">
        <v>8.68</v>
      </c>
      <c r="E120" s="273">
        <f t="shared" si="15"/>
        <v>0.18290348329853873</v>
      </c>
      <c r="F120" s="274">
        <f t="shared" si="16"/>
        <v>18.290348329853874</v>
      </c>
      <c r="G120" s="275" t="s">
        <v>253</v>
      </c>
      <c r="H120" s="276" t="s">
        <v>814</v>
      </c>
      <c r="I120" s="276" t="s">
        <v>54</v>
      </c>
      <c r="J120" s="277">
        <v>1.82</v>
      </c>
      <c r="K120" s="278"/>
      <c r="L120" s="278"/>
      <c r="M120" s="306">
        <f t="shared" si="32"/>
        <v>404.2311349160176</v>
      </c>
      <c r="N120" s="280"/>
      <c r="O120" s="281"/>
      <c r="P120" s="306">
        <f t="shared" si="33"/>
        <v>332.88433960334049</v>
      </c>
      <c r="Q120" s="280"/>
      <c r="R120" s="281"/>
      <c r="S120" s="406">
        <f t="shared" si="30"/>
        <v>525.78571428571433</v>
      </c>
      <c r="T120" s="283">
        <v>433</v>
      </c>
      <c r="U120" s="284">
        <f t="shared" si="34"/>
        <v>93.355920303930162</v>
      </c>
      <c r="V120" s="218" t="s">
        <v>706</v>
      </c>
      <c r="W120" s="285">
        <f t="shared" si="17"/>
        <v>433</v>
      </c>
    </row>
    <row r="121" spans="1:23" x14ac:dyDescent="0.2">
      <c r="A121" s="269">
        <v>22.3</v>
      </c>
      <c r="B121" s="270">
        <f t="shared" si="13"/>
        <v>295.45</v>
      </c>
      <c r="C121" s="271">
        <f t="shared" si="14"/>
        <v>9.3300513826366576</v>
      </c>
      <c r="D121" s="272">
        <v>6.6</v>
      </c>
      <c r="E121" s="273">
        <f t="shared" si="15"/>
        <v>1.8584067349021094E-3</v>
      </c>
      <c r="F121" s="274">
        <f t="shared" si="16"/>
        <v>0.18584067349021094</v>
      </c>
      <c r="G121" s="275" t="s">
        <v>254</v>
      </c>
      <c r="H121" s="276" t="s">
        <v>815</v>
      </c>
      <c r="I121" s="276" t="s">
        <v>54</v>
      </c>
      <c r="J121" s="305">
        <v>13</v>
      </c>
      <c r="K121" s="278"/>
      <c r="L121" s="278"/>
      <c r="M121" s="306">
        <f t="shared" si="32"/>
        <v>29.337325505437065</v>
      </c>
      <c r="N121" s="280"/>
      <c r="O121" s="281"/>
      <c r="P121" s="306">
        <f t="shared" si="33"/>
        <v>24.159287553727424</v>
      </c>
      <c r="Q121" s="280"/>
      <c r="R121" s="281"/>
      <c r="S121" s="305">
        <f t="shared" si="30"/>
        <v>41.528571428571432</v>
      </c>
      <c r="T121" s="283">
        <v>34.200000000000003</v>
      </c>
      <c r="U121" s="284">
        <f t="shared" si="34"/>
        <v>85.781653524669778</v>
      </c>
      <c r="V121" s="218" t="s">
        <v>706</v>
      </c>
      <c r="W121" s="307">
        <f t="shared" si="17"/>
        <v>34.200000000000003</v>
      </c>
    </row>
    <row r="122" spans="1:23" x14ac:dyDescent="0.2">
      <c r="A122" s="269">
        <v>22.3</v>
      </c>
      <c r="B122" s="270">
        <f t="shared" ref="B122:B184" si="35">273.15+A122</f>
        <v>295.45</v>
      </c>
      <c r="C122" s="271">
        <f t="shared" ref="C122:C184" si="36">0.09018+(2729.92/B122)</f>
        <v>9.3300513826366576</v>
      </c>
      <c r="D122" s="272">
        <v>7.25</v>
      </c>
      <c r="E122" s="273">
        <f t="shared" ref="E122:E184" si="37">1/(POWER(10,C122-D122)+1)</f>
        <v>8.2480574480836115E-3</v>
      </c>
      <c r="F122" s="274">
        <f t="shared" ref="F122:F149" si="38">E122*100</f>
        <v>0.82480574480836111</v>
      </c>
      <c r="G122" s="275" t="s">
        <v>256</v>
      </c>
      <c r="H122" s="276" t="s">
        <v>816</v>
      </c>
      <c r="I122" s="276" t="s">
        <v>54</v>
      </c>
      <c r="J122" s="277">
        <v>11.2</v>
      </c>
      <c r="K122" s="278"/>
      <c r="L122" s="278"/>
      <c r="M122" s="306">
        <f t="shared" si="32"/>
        <v>112.1775876363527</v>
      </c>
      <c r="N122" s="280"/>
      <c r="O122" s="281"/>
      <c r="P122" s="306">
        <f t="shared" si="33"/>
        <v>92.378243418536442</v>
      </c>
      <c r="Q122" s="280"/>
      <c r="R122" s="281"/>
      <c r="S122" s="406">
        <f t="shared" si="30"/>
        <v>145.71428571428572</v>
      </c>
      <c r="T122" s="283">
        <v>120</v>
      </c>
      <c r="U122" s="284">
        <f t="shared" si="34"/>
        <v>93.481323030293922</v>
      </c>
      <c r="V122" s="218" t="s">
        <v>706</v>
      </c>
      <c r="W122" s="285">
        <f t="shared" ref="W122:W182" si="39">IF(V122="R",T122,IF(V122="C",P122))</f>
        <v>120</v>
      </c>
    </row>
    <row r="123" spans="1:23" x14ac:dyDescent="0.2">
      <c r="A123" s="269">
        <v>22.3</v>
      </c>
      <c r="B123" s="270">
        <f t="shared" si="35"/>
        <v>295.45</v>
      </c>
      <c r="C123" s="271">
        <f t="shared" si="36"/>
        <v>9.3300513826366576</v>
      </c>
      <c r="D123" s="272">
        <v>7.83</v>
      </c>
      <c r="E123" s="273">
        <f t="shared" si="37"/>
        <v>3.0649914701603154E-2</v>
      </c>
      <c r="F123" s="274">
        <f t="shared" si="38"/>
        <v>3.0649914701603156</v>
      </c>
      <c r="G123" s="275" t="s">
        <v>257</v>
      </c>
      <c r="H123" s="276" t="s">
        <v>817</v>
      </c>
      <c r="I123" s="276" t="s">
        <v>54</v>
      </c>
      <c r="J123" s="277">
        <v>11.7</v>
      </c>
      <c r="K123" s="278"/>
      <c r="L123" s="278"/>
      <c r="M123" s="306">
        <f t="shared" si="32"/>
        <v>435.46326898452566</v>
      </c>
      <c r="N123" s="280"/>
      <c r="O123" s="281"/>
      <c r="P123" s="306">
        <f t="shared" si="33"/>
        <v>358.60400200875688</v>
      </c>
      <c r="Q123" s="280"/>
      <c r="R123" s="281"/>
      <c r="S123" s="406">
        <f t="shared" si="30"/>
        <v>573.14285714285711</v>
      </c>
      <c r="T123" s="283">
        <v>472</v>
      </c>
      <c r="U123" s="284">
        <f t="shared" si="34"/>
        <v>92.259167157738489</v>
      </c>
      <c r="V123" s="218" t="s">
        <v>706</v>
      </c>
      <c r="W123" s="285">
        <f t="shared" si="39"/>
        <v>472</v>
      </c>
    </row>
    <row r="124" spans="1:23" x14ac:dyDescent="0.2">
      <c r="A124" s="269">
        <v>22.3</v>
      </c>
      <c r="B124" s="270">
        <f t="shared" si="35"/>
        <v>295.45</v>
      </c>
      <c r="C124" s="271">
        <f t="shared" si="36"/>
        <v>9.3300513826366576</v>
      </c>
      <c r="D124" s="272">
        <v>8.68</v>
      </c>
      <c r="E124" s="273">
        <f t="shared" si="37"/>
        <v>0.18290348329853873</v>
      </c>
      <c r="F124" s="274">
        <f t="shared" si="38"/>
        <v>18.290348329853874</v>
      </c>
      <c r="G124" s="292" t="s">
        <v>258</v>
      </c>
      <c r="H124" s="226" t="s">
        <v>818</v>
      </c>
      <c r="I124" s="226" t="s">
        <v>54</v>
      </c>
      <c r="J124" s="293">
        <v>1.82</v>
      </c>
      <c r="K124" s="294"/>
      <c r="L124" s="294"/>
      <c r="M124" s="309">
        <f t="shared" si="32"/>
        <v>404.2311349160176</v>
      </c>
      <c r="N124" s="296"/>
      <c r="O124" s="297"/>
      <c r="P124" s="309">
        <f t="shared" si="33"/>
        <v>332.88433960334049</v>
      </c>
      <c r="Q124" s="296"/>
      <c r="R124" s="297"/>
      <c r="S124" s="407">
        <f t="shared" si="30"/>
        <v>525.78571428571433</v>
      </c>
      <c r="T124" s="299">
        <v>433</v>
      </c>
      <c r="U124" s="300">
        <f t="shared" si="34"/>
        <v>93.355920303930162</v>
      </c>
      <c r="V124" s="301" t="s">
        <v>706</v>
      </c>
      <c r="W124" s="302">
        <f t="shared" si="39"/>
        <v>433</v>
      </c>
    </row>
    <row r="125" spans="1:23" x14ac:dyDescent="0.2">
      <c r="A125" s="252">
        <v>11</v>
      </c>
      <c r="B125" s="253">
        <f t="shared" si="35"/>
        <v>284.14999999999998</v>
      </c>
      <c r="C125" s="254">
        <f t="shared" si="36"/>
        <v>9.6975000774238964</v>
      </c>
      <c r="D125" s="255">
        <v>7.5</v>
      </c>
      <c r="E125" s="256">
        <f t="shared" si="37"/>
        <v>6.3059801418772089E-3</v>
      </c>
      <c r="F125" s="257">
        <f t="shared" si="38"/>
        <v>0.63059801418772088</v>
      </c>
      <c r="G125" s="275" t="s">
        <v>301</v>
      </c>
      <c r="H125" s="212" t="s">
        <v>819</v>
      </c>
      <c r="I125" s="212" t="s">
        <v>54</v>
      </c>
      <c r="J125" s="259" t="s">
        <v>37</v>
      </c>
      <c r="K125" s="260"/>
      <c r="L125" s="260"/>
      <c r="M125" s="310"/>
      <c r="N125" s="262"/>
      <c r="O125" s="263"/>
      <c r="P125" s="310"/>
      <c r="Q125" s="262"/>
      <c r="R125" s="263"/>
      <c r="S125" s="264" t="s">
        <v>820</v>
      </c>
      <c r="T125" s="265" t="s">
        <v>306</v>
      </c>
      <c r="U125" s="303" t="s">
        <v>582</v>
      </c>
      <c r="V125" s="267" t="s">
        <v>706</v>
      </c>
      <c r="W125" s="311" t="str">
        <f t="shared" si="39"/>
        <v>&lt;50</v>
      </c>
    </row>
    <row r="126" spans="1:23" x14ac:dyDescent="0.2">
      <c r="A126" s="269">
        <v>11</v>
      </c>
      <c r="B126" s="270">
        <f t="shared" si="35"/>
        <v>284.14999999999998</v>
      </c>
      <c r="C126" s="271">
        <f t="shared" si="36"/>
        <v>9.6975000774238964</v>
      </c>
      <c r="D126" s="272">
        <v>7.5</v>
      </c>
      <c r="E126" s="273">
        <f t="shared" si="37"/>
        <v>6.3059801418772089E-3</v>
      </c>
      <c r="F126" s="274">
        <f t="shared" si="38"/>
        <v>0.63059801418772088</v>
      </c>
      <c r="G126" s="275" t="s">
        <v>308</v>
      </c>
      <c r="H126" s="276" t="s">
        <v>821</v>
      </c>
      <c r="I126" s="276" t="s">
        <v>54</v>
      </c>
      <c r="J126" s="277" t="s">
        <v>37</v>
      </c>
      <c r="K126" s="278"/>
      <c r="L126" s="278"/>
      <c r="M126" s="306"/>
      <c r="N126" s="280"/>
      <c r="O126" s="281"/>
      <c r="P126" s="306"/>
      <c r="Q126" s="280"/>
      <c r="R126" s="281"/>
      <c r="S126" s="282">
        <f t="shared" si="30"/>
        <v>60.714285714285715</v>
      </c>
      <c r="T126" s="283">
        <v>50</v>
      </c>
      <c r="U126" s="304" t="s">
        <v>582</v>
      </c>
      <c r="V126" s="218" t="s">
        <v>706</v>
      </c>
      <c r="W126" s="307">
        <f t="shared" si="39"/>
        <v>50</v>
      </c>
    </row>
    <row r="127" spans="1:23" x14ac:dyDescent="0.2">
      <c r="A127" s="269">
        <v>11</v>
      </c>
      <c r="B127" s="270">
        <f t="shared" si="35"/>
        <v>284.14999999999998</v>
      </c>
      <c r="C127" s="271">
        <f t="shared" si="36"/>
        <v>9.6975000774238964</v>
      </c>
      <c r="D127" s="272">
        <v>7.5</v>
      </c>
      <c r="E127" s="273">
        <f t="shared" si="37"/>
        <v>6.3059801418772089E-3</v>
      </c>
      <c r="F127" s="274">
        <f t="shared" si="38"/>
        <v>0.63059801418772088</v>
      </c>
      <c r="G127" s="275" t="s">
        <v>309</v>
      </c>
      <c r="H127" s="276" t="s">
        <v>822</v>
      </c>
      <c r="I127" s="276" t="s">
        <v>54</v>
      </c>
      <c r="J127" s="277" t="s">
        <v>37</v>
      </c>
      <c r="K127" s="278"/>
      <c r="L127" s="278"/>
      <c r="M127" s="306"/>
      <c r="N127" s="280"/>
      <c r="O127" s="281"/>
      <c r="P127" s="306"/>
      <c r="Q127" s="280"/>
      <c r="R127" s="281"/>
      <c r="S127" s="282">
        <f t="shared" si="30"/>
        <v>121.42857142857143</v>
      </c>
      <c r="T127" s="283">
        <v>100</v>
      </c>
      <c r="U127" s="304" t="s">
        <v>582</v>
      </c>
      <c r="V127" s="218" t="s">
        <v>706</v>
      </c>
      <c r="W127" s="285">
        <f t="shared" si="39"/>
        <v>100</v>
      </c>
    </row>
    <row r="128" spans="1:23" x14ac:dyDescent="0.2">
      <c r="A128" s="286">
        <v>11</v>
      </c>
      <c r="B128" s="287">
        <f t="shared" si="35"/>
        <v>284.14999999999998</v>
      </c>
      <c r="C128" s="288">
        <f t="shared" si="36"/>
        <v>9.6975000774238964</v>
      </c>
      <c r="D128" s="289">
        <v>7.5</v>
      </c>
      <c r="E128" s="290">
        <f t="shared" si="37"/>
        <v>6.3059801418772089E-3</v>
      </c>
      <c r="F128" s="291">
        <f t="shared" si="38"/>
        <v>0.63059801418772088</v>
      </c>
      <c r="G128" s="292" t="s">
        <v>321</v>
      </c>
      <c r="H128" s="226" t="s">
        <v>823</v>
      </c>
      <c r="I128" s="226" t="s">
        <v>112</v>
      </c>
      <c r="J128" s="293" t="s">
        <v>37</v>
      </c>
      <c r="K128" s="294"/>
      <c r="L128" s="294"/>
      <c r="M128" s="309"/>
      <c r="N128" s="296"/>
      <c r="O128" s="297"/>
      <c r="P128" s="309"/>
      <c r="Q128" s="296"/>
      <c r="R128" s="297"/>
      <c r="S128" s="298">
        <f t="shared" si="30"/>
        <v>303.57142857142856</v>
      </c>
      <c r="T128" s="299">
        <v>250</v>
      </c>
      <c r="U128" s="312" t="s">
        <v>582</v>
      </c>
      <c r="V128" s="383" t="s">
        <v>706</v>
      </c>
      <c r="W128" s="302">
        <f t="shared" si="39"/>
        <v>250</v>
      </c>
    </row>
    <row r="129" spans="1:24" x14ac:dyDescent="0.2">
      <c r="A129" s="252">
        <v>27.9</v>
      </c>
      <c r="B129" s="253">
        <f t="shared" si="35"/>
        <v>301.04999999999995</v>
      </c>
      <c r="C129" s="254">
        <f t="shared" si="36"/>
        <v>9.1581753496097011</v>
      </c>
      <c r="D129" s="255">
        <v>8.3699999999999992</v>
      </c>
      <c r="E129" s="256">
        <f t="shared" si="37"/>
        <v>0.14005408712254408</v>
      </c>
      <c r="F129" s="257">
        <f t="shared" si="38"/>
        <v>14.005408712254408</v>
      </c>
      <c r="G129" s="408" t="s">
        <v>213</v>
      </c>
      <c r="H129" s="212" t="s">
        <v>824</v>
      </c>
      <c r="I129" s="212" t="s">
        <v>54</v>
      </c>
      <c r="J129" s="259" t="s">
        <v>37</v>
      </c>
      <c r="K129" s="260"/>
      <c r="L129" s="260"/>
      <c r="M129" s="339"/>
      <c r="N129" s="262"/>
      <c r="O129" s="263"/>
      <c r="P129" s="373"/>
      <c r="Q129" s="262"/>
      <c r="R129" s="263"/>
      <c r="S129" s="264">
        <f t="shared" si="30"/>
        <v>945.92857142857144</v>
      </c>
      <c r="T129" s="265">
        <v>779</v>
      </c>
      <c r="U129" s="303" t="s">
        <v>582</v>
      </c>
      <c r="V129" s="218" t="s">
        <v>706</v>
      </c>
      <c r="W129" s="268">
        <f t="shared" si="39"/>
        <v>779</v>
      </c>
    </row>
    <row r="130" spans="1:24" x14ac:dyDescent="0.2">
      <c r="A130" s="269">
        <v>27.9</v>
      </c>
      <c r="B130" s="270">
        <f t="shared" si="35"/>
        <v>301.04999999999995</v>
      </c>
      <c r="C130" s="271">
        <f t="shared" si="36"/>
        <v>9.1581753496097011</v>
      </c>
      <c r="D130" s="272">
        <v>8.3699999999999992</v>
      </c>
      <c r="E130" s="273">
        <f t="shared" si="37"/>
        <v>0.14005408712254408</v>
      </c>
      <c r="F130" s="274">
        <f t="shared" si="38"/>
        <v>14.005408712254408</v>
      </c>
      <c r="G130" s="409" t="s">
        <v>218</v>
      </c>
      <c r="H130" s="276" t="s">
        <v>825</v>
      </c>
      <c r="I130" s="276" t="s">
        <v>54</v>
      </c>
      <c r="J130" s="410" t="s">
        <v>956</v>
      </c>
      <c r="K130" s="278"/>
      <c r="L130" s="278"/>
      <c r="M130" s="321"/>
      <c r="N130" s="280"/>
      <c r="O130" s="281"/>
      <c r="P130" s="322"/>
      <c r="Q130" s="280"/>
      <c r="R130" s="281"/>
      <c r="S130" s="282" t="s">
        <v>826</v>
      </c>
      <c r="T130" s="283" t="s">
        <v>958</v>
      </c>
      <c r="U130" s="304" t="s">
        <v>582</v>
      </c>
      <c r="V130" s="218" t="s">
        <v>706</v>
      </c>
      <c r="W130" s="307" t="str">
        <f t="shared" si="39"/>
        <v>&lt;217</v>
      </c>
    </row>
    <row r="131" spans="1:24" x14ac:dyDescent="0.2">
      <c r="A131" s="286">
        <v>27.9</v>
      </c>
      <c r="B131" s="287">
        <f t="shared" si="35"/>
        <v>301.04999999999995</v>
      </c>
      <c r="C131" s="288">
        <f t="shared" si="36"/>
        <v>9.1581753496097011</v>
      </c>
      <c r="D131" s="289">
        <v>8.3699999999999992</v>
      </c>
      <c r="E131" s="290">
        <f t="shared" si="37"/>
        <v>0.14005408712254408</v>
      </c>
      <c r="F131" s="291">
        <f t="shared" si="38"/>
        <v>14.005408712254408</v>
      </c>
      <c r="G131" s="411" t="s">
        <v>221</v>
      </c>
      <c r="H131" s="226" t="s">
        <v>827</v>
      </c>
      <c r="I131" s="226" t="s">
        <v>54</v>
      </c>
      <c r="J131" s="293" t="s">
        <v>956</v>
      </c>
      <c r="K131" s="294"/>
      <c r="L131" s="294"/>
      <c r="M131" s="412"/>
      <c r="N131" s="296"/>
      <c r="O131" s="297"/>
      <c r="P131" s="380"/>
      <c r="Q131" s="296"/>
      <c r="R131" s="297"/>
      <c r="S131" s="298" t="s">
        <v>826</v>
      </c>
      <c r="T131" s="299" t="s">
        <v>958</v>
      </c>
      <c r="U131" s="312" t="s">
        <v>582</v>
      </c>
      <c r="V131" s="383" t="s">
        <v>706</v>
      </c>
      <c r="W131" s="313" t="str">
        <f t="shared" si="39"/>
        <v>&lt;217</v>
      </c>
    </row>
    <row r="132" spans="1:24" x14ac:dyDescent="0.2">
      <c r="A132" s="252">
        <v>19.8</v>
      </c>
      <c r="B132" s="253">
        <f t="shared" si="35"/>
        <v>292.95</v>
      </c>
      <c r="C132" s="254">
        <f t="shared" si="36"/>
        <v>9.4089033316265578</v>
      </c>
      <c r="D132" s="260">
        <v>8.4499999999999993</v>
      </c>
      <c r="E132" s="256">
        <f t="shared" si="37"/>
        <v>9.9038263179189831E-2</v>
      </c>
      <c r="F132" s="257">
        <f t="shared" si="38"/>
        <v>9.9038263179189823</v>
      </c>
      <c r="G132" s="408" t="s">
        <v>76</v>
      </c>
      <c r="H132" s="212" t="s">
        <v>828</v>
      </c>
      <c r="I132" s="212" t="s">
        <v>69</v>
      </c>
      <c r="J132" s="259" t="s">
        <v>37</v>
      </c>
      <c r="K132" s="260"/>
      <c r="L132" s="260"/>
      <c r="M132" s="339"/>
      <c r="N132" s="262"/>
      <c r="O132" s="263"/>
      <c r="P132" s="373"/>
      <c r="Q132" s="262"/>
      <c r="R132" s="263"/>
      <c r="S132" s="282">
        <f t="shared" si="30"/>
        <v>728.57142857142856</v>
      </c>
      <c r="T132" s="265">
        <v>600</v>
      </c>
      <c r="U132" s="303" t="s">
        <v>582</v>
      </c>
      <c r="V132" s="218" t="s">
        <v>706</v>
      </c>
      <c r="W132" s="268">
        <f t="shared" si="39"/>
        <v>600</v>
      </c>
    </row>
    <row r="133" spans="1:24" x14ac:dyDescent="0.2">
      <c r="A133" s="269">
        <v>19.8</v>
      </c>
      <c r="B133" s="270">
        <f t="shared" si="35"/>
        <v>292.95</v>
      </c>
      <c r="C133" s="271">
        <f t="shared" si="36"/>
        <v>9.4089033316265578</v>
      </c>
      <c r="D133" s="272">
        <v>8.4499999999999993</v>
      </c>
      <c r="E133" s="273">
        <f t="shared" si="37"/>
        <v>9.9038263179189831E-2</v>
      </c>
      <c r="F133" s="274">
        <f t="shared" si="38"/>
        <v>9.9038263179189823</v>
      </c>
      <c r="G133" s="409" t="s">
        <v>82</v>
      </c>
      <c r="H133" s="276" t="s">
        <v>829</v>
      </c>
      <c r="I133" s="276" t="s">
        <v>54</v>
      </c>
      <c r="J133" s="277" t="s">
        <v>37</v>
      </c>
      <c r="K133" s="278"/>
      <c r="L133" s="278"/>
      <c r="M133" s="321"/>
      <c r="N133" s="280"/>
      <c r="O133" s="281"/>
      <c r="P133" s="322"/>
      <c r="Q133" s="280"/>
      <c r="R133" s="281"/>
      <c r="S133" s="282">
        <f t="shared" si="30"/>
        <v>510</v>
      </c>
      <c r="T133" s="283">
        <v>420</v>
      </c>
      <c r="U133" s="304" t="s">
        <v>582</v>
      </c>
      <c r="V133" s="218" t="s">
        <v>706</v>
      </c>
      <c r="W133" s="285">
        <f t="shared" si="39"/>
        <v>420</v>
      </c>
    </row>
    <row r="134" spans="1:24" x14ac:dyDescent="0.2">
      <c r="A134" s="269">
        <v>19.8</v>
      </c>
      <c r="B134" s="270">
        <f t="shared" si="35"/>
        <v>292.95</v>
      </c>
      <c r="C134" s="271">
        <f t="shared" si="36"/>
        <v>9.4089033316265578</v>
      </c>
      <c r="D134" s="272">
        <v>8.4499999999999993</v>
      </c>
      <c r="E134" s="273">
        <f t="shared" si="37"/>
        <v>9.9038263179189831E-2</v>
      </c>
      <c r="F134" s="274">
        <f t="shared" si="38"/>
        <v>9.9038263179189823</v>
      </c>
      <c r="G134" s="409" t="s">
        <v>85</v>
      </c>
      <c r="H134" s="276" t="s">
        <v>830</v>
      </c>
      <c r="I134" s="276" t="s">
        <v>54</v>
      </c>
      <c r="J134" s="277" t="s">
        <v>37</v>
      </c>
      <c r="K134" s="278"/>
      <c r="L134" s="278"/>
      <c r="M134" s="321"/>
      <c r="N134" s="280"/>
      <c r="O134" s="281"/>
      <c r="P134" s="322"/>
      <c r="Q134" s="280"/>
      <c r="R134" s="281"/>
      <c r="S134" s="282">
        <f t="shared" si="30"/>
        <v>1056.4285714285713</v>
      </c>
      <c r="T134" s="283">
        <v>870</v>
      </c>
      <c r="U134" s="304" t="s">
        <v>582</v>
      </c>
      <c r="V134" s="218" t="s">
        <v>706</v>
      </c>
      <c r="W134" s="285">
        <f t="shared" si="39"/>
        <v>870</v>
      </c>
    </row>
    <row r="135" spans="1:24" x14ac:dyDescent="0.2">
      <c r="A135" s="269">
        <v>19.8</v>
      </c>
      <c r="B135" s="270">
        <f t="shared" si="35"/>
        <v>292.95</v>
      </c>
      <c r="C135" s="271">
        <f t="shared" si="36"/>
        <v>9.4089033316265578</v>
      </c>
      <c r="D135" s="272">
        <v>8.4499999999999993</v>
      </c>
      <c r="E135" s="273">
        <f t="shared" si="37"/>
        <v>9.9038263179189831E-2</v>
      </c>
      <c r="F135" s="274">
        <f t="shared" si="38"/>
        <v>9.9038263179189823</v>
      </c>
      <c r="G135" s="409" t="s">
        <v>87</v>
      </c>
      <c r="H135" s="276" t="s">
        <v>831</v>
      </c>
      <c r="I135" s="276" t="s">
        <v>54</v>
      </c>
      <c r="J135" s="277" t="s">
        <v>37</v>
      </c>
      <c r="K135" s="278"/>
      <c r="L135" s="278"/>
      <c r="M135" s="321"/>
      <c r="N135" s="280"/>
      <c r="O135" s="281"/>
      <c r="P135" s="322"/>
      <c r="Q135" s="280"/>
      <c r="R135" s="281"/>
      <c r="S135" s="282">
        <f t="shared" si="30"/>
        <v>510</v>
      </c>
      <c r="T135" s="283">
        <v>420</v>
      </c>
      <c r="U135" s="304" t="s">
        <v>582</v>
      </c>
      <c r="V135" s="218" t="s">
        <v>706</v>
      </c>
      <c r="W135" s="285">
        <f t="shared" si="39"/>
        <v>420</v>
      </c>
    </row>
    <row r="136" spans="1:24" x14ac:dyDescent="0.2">
      <c r="A136" s="286">
        <v>19.8</v>
      </c>
      <c r="B136" s="287">
        <f t="shared" si="35"/>
        <v>292.95</v>
      </c>
      <c r="C136" s="288">
        <f t="shared" si="36"/>
        <v>9.4089033316265578</v>
      </c>
      <c r="D136" s="289">
        <v>8.4499999999999993</v>
      </c>
      <c r="E136" s="290">
        <f t="shared" si="37"/>
        <v>9.9038263179189831E-2</v>
      </c>
      <c r="F136" s="291">
        <f t="shared" si="38"/>
        <v>9.9038263179189823</v>
      </c>
      <c r="G136" s="411" t="s">
        <v>89</v>
      </c>
      <c r="H136" s="226" t="s">
        <v>832</v>
      </c>
      <c r="I136" s="226" t="s">
        <v>54</v>
      </c>
      <c r="J136" s="293" t="s">
        <v>37</v>
      </c>
      <c r="K136" s="294"/>
      <c r="L136" s="294"/>
      <c r="M136" s="412"/>
      <c r="N136" s="296"/>
      <c r="O136" s="297"/>
      <c r="P136" s="380"/>
      <c r="Q136" s="296"/>
      <c r="R136" s="297"/>
      <c r="S136" s="298">
        <f t="shared" si="30"/>
        <v>510</v>
      </c>
      <c r="T136" s="299">
        <v>420</v>
      </c>
      <c r="U136" s="312" t="s">
        <v>582</v>
      </c>
      <c r="V136" s="218" t="s">
        <v>706</v>
      </c>
      <c r="W136" s="302">
        <f t="shared" si="39"/>
        <v>420</v>
      </c>
    </row>
    <row r="137" spans="1:24" x14ac:dyDescent="0.2">
      <c r="A137" s="252">
        <v>20</v>
      </c>
      <c r="B137" s="253">
        <f t="shared" si="35"/>
        <v>293.14999999999998</v>
      </c>
      <c r="C137" s="254">
        <f t="shared" si="36"/>
        <v>9.4025456830973919</v>
      </c>
      <c r="D137" s="255">
        <v>7.64</v>
      </c>
      <c r="E137" s="256">
        <f t="shared" si="37"/>
        <v>1.6983035971040963E-2</v>
      </c>
      <c r="F137" s="257">
        <f t="shared" si="38"/>
        <v>1.6983035971040963</v>
      </c>
      <c r="G137" s="408" t="s">
        <v>154</v>
      </c>
      <c r="H137" s="212" t="s">
        <v>833</v>
      </c>
      <c r="I137" s="212" t="s">
        <v>54</v>
      </c>
      <c r="J137" s="259">
        <v>0.97</v>
      </c>
      <c r="K137" s="260"/>
      <c r="L137" s="260"/>
      <c r="M137" s="261">
        <f t="shared" ref="M137:M142" si="40">P137/0.8235</f>
        <v>20.004304665342723</v>
      </c>
      <c r="N137" s="262"/>
      <c r="O137" s="263"/>
      <c r="P137" s="261">
        <f t="shared" ref="P137:P142" si="41">J137*(F137/100)*1000</f>
        <v>16.473544891909732</v>
      </c>
      <c r="Q137" s="262"/>
      <c r="R137" s="263"/>
      <c r="S137" s="264">
        <f t="shared" si="30"/>
        <v>13.357142857142858</v>
      </c>
      <c r="T137" s="265">
        <v>11</v>
      </c>
      <c r="U137" s="266">
        <f t="shared" ref="U137:U142" si="42">M137/T137*100</f>
        <v>181.85731513947928</v>
      </c>
      <c r="V137" s="343" t="s">
        <v>706</v>
      </c>
      <c r="W137" s="311">
        <f t="shared" si="39"/>
        <v>11</v>
      </c>
      <c r="X137" t="s">
        <v>834</v>
      </c>
    </row>
    <row r="138" spans="1:24" x14ac:dyDescent="0.2">
      <c r="A138" s="269">
        <v>20</v>
      </c>
      <c r="B138" s="270">
        <f t="shared" si="35"/>
        <v>293.14999999999998</v>
      </c>
      <c r="C138" s="271">
        <f t="shared" si="36"/>
        <v>9.4025456830973919</v>
      </c>
      <c r="D138" s="272">
        <v>7.44</v>
      </c>
      <c r="E138" s="273">
        <f t="shared" si="37"/>
        <v>1.0783154316463069E-2</v>
      </c>
      <c r="F138" s="274">
        <f t="shared" si="38"/>
        <v>1.0783154316463068</v>
      </c>
      <c r="G138" s="409" t="s">
        <v>160</v>
      </c>
      <c r="H138" s="276" t="s">
        <v>833</v>
      </c>
      <c r="I138" s="276" t="s">
        <v>112</v>
      </c>
      <c r="J138" s="277">
        <v>3.8</v>
      </c>
      <c r="K138" s="278">
        <v>2.7</v>
      </c>
      <c r="L138" s="278">
        <v>5.2</v>
      </c>
      <c r="M138" s="279">
        <f t="shared" si="40"/>
        <v>49.758332000679609</v>
      </c>
      <c r="N138" s="320">
        <f>Q138/0.8235</f>
        <v>35.354604316272358</v>
      </c>
      <c r="O138" s="334">
        <f>R138/0.8235</f>
        <v>68.090349053561582</v>
      </c>
      <c r="P138" s="279">
        <f t="shared" si="41"/>
        <v>40.975986402559656</v>
      </c>
      <c r="Q138" s="319">
        <f>K138*(F138/100)*1000</f>
        <v>29.114516654450288</v>
      </c>
      <c r="R138" s="320">
        <f>L138*(F138/100)*1000</f>
        <v>56.072402445607963</v>
      </c>
      <c r="S138" s="282">
        <f t="shared" si="30"/>
        <v>44.928571428571431</v>
      </c>
      <c r="T138" s="283">
        <v>37</v>
      </c>
      <c r="U138" s="284">
        <f t="shared" si="42"/>
        <v>134.48197838021517</v>
      </c>
      <c r="V138" s="346" t="s">
        <v>706</v>
      </c>
      <c r="W138" s="307">
        <f t="shared" si="39"/>
        <v>37</v>
      </c>
    </row>
    <row r="139" spans="1:24" x14ac:dyDescent="0.2">
      <c r="A139" s="269">
        <v>20</v>
      </c>
      <c r="B139" s="270">
        <f t="shared" si="35"/>
        <v>293.14999999999998</v>
      </c>
      <c r="C139" s="271">
        <f t="shared" si="36"/>
        <v>9.4025456830973919</v>
      </c>
      <c r="D139" s="272">
        <v>7.47</v>
      </c>
      <c r="E139" s="273">
        <f t="shared" si="37"/>
        <v>1.1545454124449898E-2</v>
      </c>
      <c r="F139" s="274">
        <f t="shared" si="38"/>
        <v>1.1545454124449899</v>
      </c>
      <c r="G139" s="409" t="s">
        <v>162</v>
      </c>
      <c r="H139" s="276" t="s">
        <v>835</v>
      </c>
      <c r="I139" s="276" t="s">
        <v>112</v>
      </c>
      <c r="J139" s="277">
        <v>24.2</v>
      </c>
      <c r="K139" s="278">
        <v>16.3</v>
      </c>
      <c r="L139" s="278">
        <v>43.8</v>
      </c>
      <c r="M139" s="279">
        <f t="shared" si="40"/>
        <v>339.28353346895875</v>
      </c>
      <c r="N139" s="320">
        <f>Q139/0.8235</f>
        <v>228.52568576628215</v>
      </c>
      <c r="O139" s="334">
        <f>R139/0.8235</f>
        <v>614.07515561737159</v>
      </c>
      <c r="P139" s="279">
        <f t="shared" si="41"/>
        <v>279.39998981168753</v>
      </c>
      <c r="Q139" s="319">
        <f>K139*(F139/100)*1000</f>
        <v>188.19090222853336</v>
      </c>
      <c r="R139" s="320">
        <f>L139*(F139/100)*1000</f>
        <v>505.69089065090554</v>
      </c>
      <c r="S139" s="282">
        <f t="shared" si="30"/>
        <v>206.42857142857142</v>
      </c>
      <c r="T139" s="283">
        <v>170</v>
      </c>
      <c r="U139" s="284">
        <f t="shared" si="42"/>
        <v>199.57854909938752</v>
      </c>
      <c r="V139" s="346" t="s">
        <v>706</v>
      </c>
      <c r="W139" s="285">
        <f t="shared" si="39"/>
        <v>170</v>
      </c>
    </row>
    <row r="140" spans="1:24" x14ac:dyDescent="0.2">
      <c r="A140" s="269">
        <v>20</v>
      </c>
      <c r="B140" s="270">
        <f t="shared" si="35"/>
        <v>293.14999999999998</v>
      </c>
      <c r="C140" s="271">
        <f t="shared" si="36"/>
        <v>9.4025456830973919</v>
      </c>
      <c r="D140" s="272">
        <v>7.64</v>
      </c>
      <c r="E140" s="273">
        <f t="shared" si="37"/>
        <v>1.6983035971040963E-2</v>
      </c>
      <c r="F140" s="274">
        <f t="shared" si="38"/>
        <v>1.6983035971040963</v>
      </c>
      <c r="G140" s="409" t="s">
        <v>165</v>
      </c>
      <c r="H140" s="276" t="s">
        <v>836</v>
      </c>
      <c r="I140" s="276" t="s">
        <v>54</v>
      </c>
      <c r="J140" s="277">
        <v>0.97</v>
      </c>
      <c r="K140" s="278"/>
      <c r="L140" s="278"/>
      <c r="M140" s="279">
        <f t="shared" si="40"/>
        <v>20.004304665342723</v>
      </c>
      <c r="N140" s="280"/>
      <c r="O140" s="281"/>
      <c r="P140" s="279">
        <f t="shared" si="41"/>
        <v>16.473544891909732</v>
      </c>
      <c r="Q140" s="280"/>
      <c r="R140" s="281"/>
      <c r="S140" s="282">
        <f t="shared" si="30"/>
        <v>13.357142857142858</v>
      </c>
      <c r="T140" s="283">
        <v>11</v>
      </c>
      <c r="U140" s="284">
        <f t="shared" si="42"/>
        <v>181.85731513947928</v>
      </c>
      <c r="V140" s="346" t="s">
        <v>706</v>
      </c>
      <c r="W140" s="307">
        <f t="shared" si="39"/>
        <v>11</v>
      </c>
    </row>
    <row r="141" spans="1:24" x14ac:dyDescent="0.2">
      <c r="A141" s="269">
        <v>20</v>
      </c>
      <c r="B141" s="270">
        <f t="shared" si="35"/>
        <v>293.14999999999998</v>
      </c>
      <c r="C141" s="271">
        <f t="shared" si="36"/>
        <v>9.4025456830973919</v>
      </c>
      <c r="D141" s="272">
        <v>7.44</v>
      </c>
      <c r="E141" s="273">
        <f t="shared" si="37"/>
        <v>1.0783154316463069E-2</v>
      </c>
      <c r="F141" s="274">
        <f t="shared" si="38"/>
        <v>1.0783154316463068</v>
      </c>
      <c r="G141" s="409" t="s">
        <v>166</v>
      </c>
      <c r="H141" s="276" t="s">
        <v>836</v>
      </c>
      <c r="I141" s="276" t="s">
        <v>40</v>
      </c>
      <c r="J141" s="277">
        <v>0.8</v>
      </c>
      <c r="K141" s="278">
        <v>0.68</v>
      </c>
      <c r="L141" s="278">
        <v>1.2</v>
      </c>
      <c r="M141" s="279">
        <f t="shared" si="40"/>
        <v>10.47543831593255</v>
      </c>
      <c r="N141" s="320">
        <f>Q141/0.8235</f>
        <v>8.9041225685426681</v>
      </c>
      <c r="O141" s="334">
        <f>R141/0.8235</f>
        <v>15.713157473898825</v>
      </c>
      <c r="P141" s="279">
        <f t="shared" si="41"/>
        <v>8.6265234531704547</v>
      </c>
      <c r="Q141" s="319">
        <f>K141*(F141/100)*1000</f>
        <v>7.3325449351948873</v>
      </c>
      <c r="R141" s="320">
        <f>L141*(F141/100)*1000</f>
        <v>12.939785179755683</v>
      </c>
      <c r="S141" s="282">
        <f t="shared" si="30"/>
        <v>15.785714285714286</v>
      </c>
      <c r="T141" s="283">
        <v>13</v>
      </c>
      <c r="U141" s="284">
        <f t="shared" si="42"/>
        <v>80.580294737942694</v>
      </c>
      <c r="V141" s="346" t="s">
        <v>706</v>
      </c>
      <c r="W141" s="307">
        <f t="shared" si="39"/>
        <v>13</v>
      </c>
    </row>
    <row r="142" spans="1:24" x14ac:dyDescent="0.2">
      <c r="A142" s="286">
        <v>20</v>
      </c>
      <c r="B142" s="287">
        <f t="shared" si="35"/>
        <v>293.14999999999998</v>
      </c>
      <c r="C142" s="288">
        <f t="shared" si="36"/>
        <v>9.4025456830973919</v>
      </c>
      <c r="D142" s="272">
        <v>7.73</v>
      </c>
      <c r="E142" s="290">
        <f t="shared" si="37"/>
        <v>2.0812308866320763E-2</v>
      </c>
      <c r="F142" s="291">
        <f t="shared" si="38"/>
        <v>2.0812308866320763</v>
      </c>
      <c r="G142" s="411" t="s">
        <v>168</v>
      </c>
      <c r="H142" s="276" t="s">
        <v>837</v>
      </c>
      <c r="I142" s="226" t="s">
        <v>54</v>
      </c>
      <c r="J142" s="293">
        <v>0.65</v>
      </c>
      <c r="K142" s="294"/>
      <c r="L142" s="294"/>
      <c r="M142" s="295">
        <f t="shared" si="40"/>
        <v>16.427444763944742</v>
      </c>
      <c r="N142" s="296"/>
      <c r="O142" s="297"/>
      <c r="P142" s="295">
        <f t="shared" si="41"/>
        <v>13.528000763108496</v>
      </c>
      <c r="Q142" s="296"/>
      <c r="R142" s="297"/>
      <c r="S142" s="298">
        <f t="shared" si="30"/>
        <v>14.571428571428571</v>
      </c>
      <c r="T142" s="299">
        <v>12</v>
      </c>
      <c r="U142" s="300">
        <f t="shared" si="42"/>
        <v>136.89537303287284</v>
      </c>
      <c r="V142" s="340" t="s">
        <v>706</v>
      </c>
      <c r="W142" s="313">
        <f t="shared" si="39"/>
        <v>12</v>
      </c>
    </row>
    <row r="143" spans="1:24" x14ac:dyDescent="0.2">
      <c r="A143" s="269">
        <v>24.8</v>
      </c>
      <c r="B143" s="253">
        <f t="shared" si="35"/>
        <v>297.95</v>
      </c>
      <c r="C143" s="254">
        <f t="shared" si="36"/>
        <v>9.2525226749454621</v>
      </c>
      <c r="D143" s="255">
        <v>8.09</v>
      </c>
      <c r="E143" s="256">
        <f t="shared" si="37"/>
        <v>6.4355850118516938E-2</v>
      </c>
      <c r="F143" s="257">
        <f t="shared" si="38"/>
        <v>6.4355850118516935</v>
      </c>
      <c r="G143" s="408" t="s">
        <v>342</v>
      </c>
      <c r="H143" s="238" t="s">
        <v>838</v>
      </c>
      <c r="I143" s="197" t="s">
        <v>54</v>
      </c>
      <c r="J143" s="259" t="s">
        <v>37</v>
      </c>
      <c r="K143" s="260"/>
      <c r="L143" s="260"/>
      <c r="M143" s="339"/>
      <c r="N143" s="262"/>
      <c r="O143" s="263"/>
      <c r="P143" s="373"/>
      <c r="Q143" s="262"/>
      <c r="R143" s="263"/>
      <c r="S143" s="264">
        <f t="shared" si="30"/>
        <v>206.42857142857142</v>
      </c>
      <c r="T143" s="265">
        <v>170</v>
      </c>
      <c r="U143" s="303" t="s">
        <v>582</v>
      </c>
      <c r="V143" s="267" t="s">
        <v>706</v>
      </c>
      <c r="W143" s="268">
        <f t="shared" si="39"/>
        <v>170</v>
      </c>
      <c r="X143" t="s">
        <v>839</v>
      </c>
    </row>
    <row r="144" spans="1:24" x14ac:dyDescent="0.2">
      <c r="A144" s="269">
        <v>24.8</v>
      </c>
      <c r="B144" s="270">
        <f t="shared" si="35"/>
        <v>297.95</v>
      </c>
      <c r="C144" s="271">
        <f t="shared" si="36"/>
        <v>9.2525226749454621</v>
      </c>
      <c r="D144" s="272">
        <v>8.09</v>
      </c>
      <c r="E144" s="273">
        <f t="shared" si="37"/>
        <v>6.4355850118516938E-2</v>
      </c>
      <c r="F144" s="274">
        <f t="shared" si="38"/>
        <v>6.4355850118516935</v>
      </c>
      <c r="G144" s="409" t="s">
        <v>357</v>
      </c>
      <c r="H144" s="413" t="s">
        <v>840</v>
      </c>
      <c r="I144" t="s">
        <v>54</v>
      </c>
      <c r="J144" s="277" t="s">
        <v>37</v>
      </c>
      <c r="K144" s="278"/>
      <c r="L144" s="278"/>
      <c r="M144" s="321"/>
      <c r="N144" s="280"/>
      <c r="O144" s="281"/>
      <c r="P144" s="322"/>
      <c r="Q144" s="280"/>
      <c r="R144" s="281"/>
      <c r="S144" s="282">
        <f t="shared" si="30"/>
        <v>206.42857142857142</v>
      </c>
      <c r="T144" s="283">
        <v>170</v>
      </c>
      <c r="U144" s="304" t="s">
        <v>582</v>
      </c>
      <c r="V144" s="218" t="s">
        <v>706</v>
      </c>
      <c r="W144" s="285">
        <f t="shared" si="39"/>
        <v>170</v>
      </c>
    </row>
    <row r="145" spans="1:24" x14ac:dyDescent="0.2">
      <c r="A145" s="286">
        <v>24.8</v>
      </c>
      <c r="B145" s="287">
        <f t="shared" si="35"/>
        <v>297.95</v>
      </c>
      <c r="C145" s="288">
        <f t="shared" si="36"/>
        <v>9.2525226749454621</v>
      </c>
      <c r="D145" s="289">
        <v>8.09</v>
      </c>
      <c r="E145" s="290">
        <f t="shared" si="37"/>
        <v>6.4355850118516938E-2</v>
      </c>
      <c r="F145" s="291">
        <f t="shared" si="38"/>
        <v>6.4355850118516935</v>
      </c>
      <c r="G145" s="411" t="s">
        <v>365</v>
      </c>
      <c r="H145" s="352" t="s">
        <v>841</v>
      </c>
      <c r="I145" s="123" t="s">
        <v>54</v>
      </c>
      <c r="J145" s="293" t="s">
        <v>37</v>
      </c>
      <c r="K145" s="294"/>
      <c r="L145" s="294"/>
      <c r="M145" s="412"/>
      <c r="N145" s="296"/>
      <c r="O145" s="297"/>
      <c r="P145" s="380"/>
      <c r="Q145" s="296"/>
      <c r="R145" s="297"/>
      <c r="S145" s="298">
        <f t="shared" si="30"/>
        <v>121.42857142857143</v>
      </c>
      <c r="T145" s="299">
        <v>100</v>
      </c>
      <c r="U145" s="312" t="s">
        <v>582</v>
      </c>
      <c r="V145" s="301" t="s">
        <v>706</v>
      </c>
      <c r="W145" s="302">
        <f t="shared" si="39"/>
        <v>100</v>
      </c>
    </row>
    <row r="146" spans="1:24" x14ac:dyDescent="0.2">
      <c r="A146" s="252">
        <v>22</v>
      </c>
      <c r="B146" s="253">
        <f t="shared" si="35"/>
        <v>295.14999999999998</v>
      </c>
      <c r="C146" s="254">
        <f t="shared" si="36"/>
        <v>9.3394430865661544</v>
      </c>
      <c r="D146" s="255">
        <v>7.9</v>
      </c>
      <c r="E146" s="256">
        <f t="shared" si="37"/>
        <v>3.5079114358433361E-2</v>
      </c>
      <c r="F146" s="257">
        <f t="shared" si="38"/>
        <v>3.5079114358433361</v>
      </c>
      <c r="G146" s="408" t="s">
        <v>229</v>
      </c>
      <c r="H146" s="212" t="s">
        <v>842</v>
      </c>
      <c r="I146" s="212" t="s">
        <v>54</v>
      </c>
      <c r="J146" s="259" t="s">
        <v>37</v>
      </c>
      <c r="K146" s="260"/>
      <c r="L146" s="260"/>
      <c r="M146" s="339"/>
      <c r="N146" s="262"/>
      <c r="O146" s="263"/>
      <c r="P146" s="373"/>
      <c r="Q146" s="262"/>
      <c r="R146" s="263"/>
      <c r="S146" s="259">
        <v>220</v>
      </c>
      <c r="T146" s="342">
        <f t="shared" ref="T146" si="43">S146*14/17</f>
        <v>181.1764705882353</v>
      </c>
      <c r="U146" s="404" t="s">
        <v>582</v>
      </c>
      <c r="V146" s="401" t="s">
        <v>706</v>
      </c>
      <c r="W146" s="414">
        <f t="shared" si="39"/>
        <v>181.1764705882353</v>
      </c>
    </row>
    <row r="147" spans="1:24" x14ac:dyDescent="0.2">
      <c r="A147" s="252">
        <v>25</v>
      </c>
      <c r="B147" s="253">
        <f t="shared" si="35"/>
        <v>298.14999999999998</v>
      </c>
      <c r="C147" s="254">
        <f t="shared" si="36"/>
        <v>9.2463765453630735</v>
      </c>
      <c r="D147" s="415">
        <v>8</v>
      </c>
      <c r="E147" s="256">
        <f t="shared" si="37"/>
        <v>5.3662336661957251E-2</v>
      </c>
      <c r="F147" s="257">
        <f t="shared" si="38"/>
        <v>5.3662336661957255</v>
      </c>
      <c r="G147" s="408" t="s">
        <v>59</v>
      </c>
      <c r="H147" s="212" t="s">
        <v>843</v>
      </c>
      <c r="I147" s="212" t="s">
        <v>54</v>
      </c>
      <c r="J147" s="259" t="s">
        <v>37</v>
      </c>
      <c r="K147" s="260"/>
      <c r="L147" s="260"/>
      <c r="M147" s="339"/>
      <c r="N147" s="262"/>
      <c r="O147" s="262"/>
      <c r="P147" s="373"/>
      <c r="Q147" s="262"/>
      <c r="R147" s="263"/>
      <c r="S147" s="264">
        <f t="shared" si="30"/>
        <v>825.71428571428567</v>
      </c>
      <c r="T147" s="265">
        <v>680</v>
      </c>
      <c r="U147" s="303" t="s">
        <v>582</v>
      </c>
      <c r="V147" s="267" t="s">
        <v>706</v>
      </c>
      <c r="W147" s="268">
        <f t="shared" si="39"/>
        <v>680</v>
      </c>
    </row>
    <row r="148" spans="1:24" x14ac:dyDescent="0.2">
      <c r="A148" s="269">
        <v>25</v>
      </c>
      <c r="B148" s="270">
        <f t="shared" si="35"/>
        <v>298.14999999999998</v>
      </c>
      <c r="C148" s="271">
        <f t="shared" si="36"/>
        <v>9.2463765453630735</v>
      </c>
      <c r="D148" s="389">
        <v>8</v>
      </c>
      <c r="E148" s="273">
        <f t="shared" si="37"/>
        <v>5.3662336661957251E-2</v>
      </c>
      <c r="F148" s="274">
        <f t="shared" si="38"/>
        <v>5.3662336661957255</v>
      </c>
      <c r="G148" s="409" t="s">
        <v>66</v>
      </c>
      <c r="H148" s="276" t="s">
        <v>843</v>
      </c>
      <c r="I148" s="276" t="s">
        <v>67</v>
      </c>
      <c r="J148" s="277" t="s">
        <v>37</v>
      </c>
      <c r="K148" s="278"/>
      <c r="L148" s="278"/>
      <c r="M148" s="321"/>
      <c r="N148" s="280"/>
      <c r="O148" s="280"/>
      <c r="P148" s="322"/>
      <c r="Q148" s="280"/>
      <c r="R148" s="281"/>
      <c r="S148" s="282">
        <f t="shared" si="30"/>
        <v>1068.5714285714287</v>
      </c>
      <c r="T148" s="283">
        <v>880</v>
      </c>
      <c r="U148" s="304" t="s">
        <v>582</v>
      </c>
      <c r="V148" s="218" t="s">
        <v>706</v>
      </c>
      <c r="W148" s="285">
        <f t="shared" si="39"/>
        <v>880</v>
      </c>
    </row>
    <row r="149" spans="1:24" x14ac:dyDescent="0.2">
      <c r="A149" s="286">
        <v>25</v>
      </c>
      <c r="B149" s="287">
        <f t="shared" si="35"/>
        <v>298.14999999999998</v>
      </c>
      <c r="C149" s="288">
        <f t="shared" si="36"/>
        <v>9.2463765453630735</v>
      </c>
      <c r="D149" s="416">
        <v>8</v>
      </c>
      <c r="E149" s="290">
        <f t="shared" si="37"/>
        <v>5.3662336661957251E-2</v>
      </c>
      <c r="F149" s="291">
        <f t="shared" si="38"/>
        <v>5.3662336661957255</v>
      </c>
      <c r="G149" s="411" t="s">
        <v>68</v>
      </c>
      <c r="H149" s="226" t="s">
        <v>843</v>
      </c>
      <c r="I149" s="226" t="s">
        <v>69</v>
      </c>
      <c r="J149" s="293" t="s">
        <v>37</v>
      </c>
      <c r="K149" s="294"/>
      <c r="L149" s="294"/>
      <c r="M149" s="412"/>
      <c r="N149" s="296"/>
      <c r="O149" s="296"/>
      <c r="P149" s="380"/>
      <c r="Q149" s="296"/>
      <c r="R149" s="297"/>
      <c r="S149" s="298">
        <f t="shared" si="30"/>
        <v>959.28571428571433</v>
      </c>
      <c r="T149" s="283">
        <v>790</v>
      </c>
      <c r="U149" s="312" t="s">
        <v>582</v>
      </c>
      <c r="V149" s="301" t="s">
        <v>706</v>
      </c>
      <c r="W149" s="302">
        <f t="shared" si="39"/>
        <v>790</v>
      </c>
    </row>
    <row r="150" spans="1:24" x14ac:dyDescent="0.2">
      <c r="A150" s="252">
        <v>25.4</v>
      </c>
      <c r="B150" s="253">
        <f>273.15+A150</f>
        <v>298.54999999999995</v>
      </c>
      <c r="C150" s="254">
        <f>0.09018+(2729.92/B150)</f>
        <v>9.2341089901189104</v>
      </c>
      <c r="D150" s="255">
        <v>7.9</v>
      </c>
      <c r="E150" s="256">
        <f>1/(POWER(10,C150-D150)+1)</f>
        <v>4.4281371258275644E-2</v>
      </c>
      <c r="F150" s="257">
        <f>E150*100</f>
        <v>4.4281371258275648</v>
      </c>
      <c r="G150" s="408" t="s">
        <v>360</v>
      </c>
      <c r="H150" s="212" t="s">
        <v>844</v>
      </c>
      <c r="I150" s="212" t="s">
        <v>54</v>
      </c>
      <c r="J150" s="259" t="s">
        <v>37</v>
      </c>
      <c r="K150" s="260"/>
      <c r="L150" s="260"/>
      <c r="M150" s="310"/>
      <c r="N150" s="317"/>
      <c r="O150" s="324"/>
      <c r="P150" s="261"/>
      <c r="Q150" s="317"/>
      <c r="R150" s="317"/>
      <c r="S150" s="264">
        <f>T150*17/14</f>
        <v>145.71428571428572</v>
      </c>
      <c r="T150" s="265">
        <v>120</v>
      </c>
      <c r="U150" s="303" t="s">
        <v>582</v>
      </c>
      <c r="V150" s="267" t="s">
        <v>706</v>
      </c>
      <c r="W150" s="268">
        <f>IF(V150="R",T150,IF(V150="C",P150))</f>
        <v>120</v>
      </c>
      <c r="X150" t="s">
        <v>845</v>
      </c>
    </row>
    <row r="151" spans="1:24" x14ac:dyDescent="0.2">
      <c r="A151" s="286">
        <v>27.3</v>
      </c>
      <c r="B151" s="287">
        <f>273.15+A151</f>
        <v>300.45</v>
      </c>
      <c r="C151" s="288">
        <f>0.09018+(2729.92/B151)</f>
        <v>9.1762841770677319</v>
      </c>
      <c r="D151" s="289">
        <v>7.77</v>
      </c>
      <c r="E151" s="290">
        <f>1/(POWER(10,C151-D151)+1)</f>
        <v>3.77572596222919E-2</v>
      </c>
      <c r="F151" s="291">
        <f t="shared" ref="F151:F184" si="44">E151*100</f>
        <v>3.7757259622291901</v>
      </c>
      <c r="G151" s="411" t="s">
        <v>223</v>
      </c>
      <c r="H151" s="226" t="s">
        <v>846</v>
      </c>
      <c r="I151" s="226" t="s">
        <v>54</v>
      </c>
      <c r="J151" s="293" t="s">
        <v>37</v>
      </c>
      <c r="K151" s="294"/>
      <c r="L151" s="294"/>
      <c r="M151" s="309"/>
      <c r="N151" s="328"/>
      <c r="O151" s="327"/>
      <c r="P151" s="295"/>
      <c r="Q151" s="328"/>
      <c r="R151" s="328"/>
      <c r="S151" s="298">
        <f>T151*17/14</f>
        <v>133.57142857142858</v>
      </c>
      <c r="T151" s="299">
        <v>110</v>
      </c>
      <c r="U151" s="312" t="s">
        <v>582</v>
      </c>
      <c r="V151" s="301" t="s">
        <v>706</v>
      </c>
      <c r="W151" s="302">
        <f>IF(V151="R",T151,IF(V151="C",P151))</f>
        <v>110</v>
      </c>
    </row>
    <row r="152" spans="1:24" x14ac:dyDescent="0.2">
      <c r="A152" s="252">
        <v>24.1</v>
      </c>
      <c r="B152" s="253">
        <f t="shared" si="35"/>
        <v>297.25</v>
      </c>
      <c r="C152" s="254">
        <f t="shared" si="36"/>
        <v>9.274099259882254</v>
      </c>
      <c r="D152" s="415">
        <v>8</v>
      </c>
      <c r="E152" s="256">
        <f t="shared" si="37"/>
        <v>5.0511520268559151E-2</v>
      </c>
      <c r="F152" s="257">
        <f t="shared" si="44"/>
        <v>5.0511520268559149</v>
      </c>
      <c r="G152" s="408" t="s">
        <v>322</v>
      </c>
      <c r="H152" s="212" t="s">
        <v>847</v>
      </c>
      <c r="I152" s="212" t="s">
        <v>54</v>
      </c>
      <c r="J152" s="417">
        <v>3.5</v>
      </c>
      <c r="K152" s="260"/>
      <c r="L152" s="260"/>
      <c r="M152" s="279">
        <f t="shared" ref="M152:O160" si="45">P152/0.8235</f>
        <v>214.68162834238862</v>
      </c>
      <c r="N152" s="262"/>
      <c r="O152" s="263"/>
      <c r="P152" s="418">
        <f t="shared" ref="P152:P160" si="46">J152*(F152/100)*1000</f>
        <v>176.79032093995704</v>
      </c>
      <c r="Q152" s="262"/>
      <c r="R152" s="263"/>
      <c r="S152" s="259">
        <v>190</v>
      </c>
      <c r="T152" s="342">
        <f t="shared" ref="T152:T167" si="47">S152*14/17</f>
        <v>156.47058823529412</v>
      </c>
      <c r="U152" s="284">
        <f t="shared" ref="U152:U160" si="48">M152/T152*100</f>
        <v>137.20254442934612</v>
      </c>
      <c r="V152" s="267" t="s">
        <v>706</v>
      </c>
      <c r="W152" s="268">
        <f t="shared" si="39"/>
        <v>156.47058823529412</v>
      </c>
    </row>
    <row r="153" spans="1:24" x14ac:dyDescent="0.2">
      <c r="A153" s="269">
        <v>24.1</v>
      </c>
      <c r="B153" s="270">
        <f t="shared" si="35"/>
        <v>297.25</v>
      </c>
      <c r="C153" s="271">
        <f t="shared" si="36"/>
        <v>9.274099259882254</v>
      </c>
      <c r="D153" s="389">
        <v>8</v>
      </c>
      <c r="E153" s="273">
        <f t="shared" si="37"/>
        <v>5.0511520268559151E-2</v>
      </c>
      <c r="F153" s="274">
        <f t="shared" si="44"/>
        <v>5.0511520268559149</v>
      </c>
      <c r="G153" s="409" t="s">
        <v>332</v>
      </c>
      <c r="H153" s="276" t="s">
        <v>848</v>
      </c>
      <c r="I153" s="276" t="s">
        <v>54</v>
      </c>
      <c r="J153" s="419">
        <v>7.3</v>
      </c>
      <c r="K153" s="278"/>
      <c r="L153" s="278"/>
      <c r="M153" s="279">
        <f t="shared" si="45"/>
        <v>447.76453911412483</v>
      </c>
      <c r="N153" s="280"/>
      <c r="O153" s="281"/>
      <c r="P153" s="420">
        <f t="shared" si="46"/>
        <v>368.73409796048179</v>
      </c>
      <c r="Q153" s="280"/>
      <c r="R153" s="281"/>
      <c r="S153" s="277">
        <v>440</v>
      </c>
      <c r="T153" s="345">
        <f t="shared" si="47"/>
        <v>362.35294117647061</v>
      </c>
      <c r="U153" s="284">
        <f t="shared" si="48"/>
        <v>123.57138254772926</v>
      </c>
      <c r="V153" s="218" t="s">
        <v>706</v>
      </c>
      <c r="W153" s="285">
        <f t="shared" si="39"/>
        <v>362.35294117647061</v>
      </c>
    </row>
    <row r="154" spans="1:24" x14ac:dyDescent="0.2">
      <c r="A154" s="286">
        <v>24.1</v>
      </c>
      <c r="B154" s="287">
        <f t="shared" si="35"/>
        <v>297.25</v>
      </c>
      <c r="C154" s="288">
        <f t="shared" si="36"/>
        <v>9.274099259882254</v>
      </c>
      <c r="D154" s="416">
        <v>8</v>
      </c>
      <c r="E154" s="290">
        <f t="shared" si="37"/>
        <v>5.0511520268559151E-2</v>
      </c>
      <c r="F154" s="291">
        <f t="shared" si="44"/>
        <v>5.0511520268559149</v>
      </c>
      <c r="G154" s="411" t="s">
        <v>354</v>
      </c>
      <c r="H154" s="226" t="s">
        <v>849</v>
      </c>
      <c r="I154" s="226" t="s">
        <v>54</v>
      </c>
      <c r="J154" s="421">
        <v>7.3</v>
      </c>
      <c r="K154" s="294"/>
      <c r="L154" s="294"/>
      <c r="M154" s="295">
        <f t="shared" si="45"/>
        <v>447.76453911412483</v>
      </c>
      <c r="N154" s="296"/>
      <c r="O154" s="297"/>
      <c r="P154" s="422">
        <f t="shared" si="46"/>
        <v>368.73409796048179</v>
      </c>
      <c r="Q154" s="296"/>
      <c r="R154" s="297"/>
      <c r="S154" s="293">
        <v>440</v>
      </c>
      <c r="T154" s="345">
        <f t="shared" si="47"/>
        <v>362.35294117647061</v>
      </c>
      <c r="U154" s="284">
        <f t="shared" si="48"/>
        <v>123.57138254772926</v>
      </c>
      <c r="V154" s="301" t="s">
        <v>706</v>
      </c>
      <c r="W154" s="302">
        <f t="shared" si="39"/>
        <v>362.35294117647061</v>
      </c>
    </row>
    <row r="155" spans="1:24" x14ac:dyDescent="0.2">
      <c r="A155" s="252">
        <v>13.1</v>
      </c>
      <c r="B155" s="253">
        <f t="shared" si="35"/>
        <v>286.25</v>
      </c>
      <c r="C155" s="254">
        <f t="shared" si="36"/>
        <v>9.6270184279475988</v>
      </c>
      <c r="D155" s="255">
        <v>7.81</v>
      </c>
      <c r="E155" s="256">
        <f t="shared" si="37"/>
        <v>1.5011113288687636E-2</v>
      </c>
      <c r="F155" s="257">
        <f t="shared" si="44"/>
        <v>1.5011113288687636</v>
      </c>
      <c r="G155" s="408" t="s">
        <v>271</v>
      </c>
      <c r="H155" s="212" t="s">
        <v>850</v>
      </c>
      <c r="I155" s="212" t="s">
        <v>112</v>
      </c>
      <c r="J155" s="259">
        <v>30.8</v>
      </c>
      <c r="K155" s="260">
        <v>28.2</v>
      </c>
      <c r="L155" s="260">
        <v>33.799999999999997</v>
      </c>
      <c r="M155" s="279">
        <f t="shared" si="45"/>
        <v>561.43568827149863</v>
      </c>
      <c r="N155" s="320">
        <f t="shared" si="45"/>
        <v>514.04176653429431</v>
      </c>
      <c r="O155" s="334">
        <f t="shared" si="45"/>
        <v>616.12098258365756</v>
      </c>
      <c r="P155" s="261">
        <f t="shared" si="46"/>
        <v>462.34228929157916</v>
      </c>
      <c r="Q155" s="317">
        <f>K155*(F155/100)*1000</f>
        <v>423.31339474099133</v>
      </c>
      <c r="R155" s="317">
        <f>L155*(F155/100)*1000</f>
        <v>507.37562915764198</v>
      </c>
      <c r="S155" s="259">
        <v>560</v>
      </c>
      <c r="T155" s="342">
        <f t="shared" si="47"/>
        <v>461.1764705882353</v>
      </c>
      <c r="U155" s="266">
        <f t="shared" si="48"/>
        <v>121.73988138540149</v>
      </c>
      <c r="V155" s="343" t="s">
        <v>706</v>
      </c>
      <c r="W155" s="268">
        <f t="shared" si="39"/>
        <v>461.1764705882353</v>
      </c>
    </row>
    <row r="156" spans="1:24" x14ac:dyDescent="0.2">
      <c r="A156" s="269">
        <v>12.8</v>
      </c>
      <c r="B156" s="270">
        <f t="shared" si="35"/>
        <v>285.95</v>
      </c>
      <c r="C156" s="271">
        <f t="shared" si="36"/>
        <v>9.6370238538205992</v>
      </c>
      <c r="D156" s="272">
        <v>7.8</v>
      </c>
      <c r="E156" s="273">
        <f t="shared" si="37"/>
        <v>1.434501702474348E-2</v>
      </c>
      <c r="F156" s="274">
        <f t="shared" si="44"/>
        <v>1.4345017024743481</v>
      </c>
      <c r="G156" s="409" t="s">
        <v>278</v>
      </c>
      <c r="H156" s="276" t="s">
        <v>851</v>
      </c>
      <c r="I156" s="276" t="s">
        <v>112</v>
      </c>
      <c r="J156" s="277">
        <v>32.200000000000003</v>
      </c>
      <c r="K156" s="423">
        <v>29</v>
      </c>
      <c r="L156" s="278">
        <v>35.700000000000003</v>
      </c>
      <c r="M156" s="279">
        <f t="shared" si="45"/>
        <v>560.91019817454776</v>
      </c>
      <c r="N156" s="320">
        <f t="shared" si="45"/>
        <v>505.16756978453054</v>
      </c>
      <c r="O156" s="334">
        <f t="shared" si="45"/>
        <v>621.87869797612905</v>
      </c>
      <c r="P156" s="279">
        <f t="shared" si="46"/>
        <v>461.90954819674005</v>
      </c>
      <c r="Q156" s="320">
        <f>K156*(F156/100)*1000</f>
        <v>416.00549371756091</v>
      </c>
      <c r="R156" s="320">
        <f>L156*(F156/100)*1000</f>
        <v>512.11710778334225</v>
      </c>
      <c r="S156" s="277">
        <v>560</v>
      </c>
      <c r="T156" s="345">
        <f t="shared" si="47"/>
        <v>461.1764705882353</v>
      </c>
      <c r="U156" s="284">
        <f t="shared" si="48"/>
        <v>121.62593582866469</v>
      </c>
      <c r="V156" s="346" t="s">
        <v>706</v>
      </c>
      <c r="W156" s="285">
        <f t="shared" si="39"/>
        <v>461.1764705882353</v>
      </c>
    </row>
    <row r="157" spans="1:24" x14ac:dyDescent="0.2">
      <c r="A157" s="269">
        <v>12.4</v>
      </c>
      <c r="B157" s="270">
        <f t="shared" si="35"/>
        <v>285.54999999999995</v>
      </c>
      <c r="C157" s="271">
        <f t="shared" si="36"/>
        <v>9.6503971248467888</v>
      </c>
      <c r="D157" s="272">
        <v>7.8</v>
      </c>
      <c r="E157" s="273">
        <f t="shared" si="37"/>
        <v>1.3916074795084696E-2</v>
      </c>
      <c r="F157" s="274">
        <f t="shared" si="44"/>
        <v>1.3916074795084696</v>
      </c>
      <c r="G157" s="409" t="s">
        <v>281</v>
      </c>
      <c r="H157" s="276" t="s">
        <v>852</v>
      </c>
      <c r="I157" s="276" t="s">
        <v>112</v>
      </c>
      <c r="J157" s="277">
        <v>21.6</v>
      </c>
      <c r="K157" s="278">
        <v>19.399999999999999</v>
      </c>
      <c r="L157" s="423">
        <v>24</v>
      </c>
      <c r="M157" s="279">
        <f t="shared" si="45"/>
        <v>365.0117979038609</v>
      </c>
      <c r="N157" s="320">
        <f t="shared" si="45"/>
        <v>327.83467033957874</v>
      </c>
      <c r="O157" s="334">
        <f t="shared" si="45"/>
        <v>405.5686643376232</v>
      </c>
      <c r="P157" s="279">
        <f t="shared" si="46"/>
        <v>300.58721557382944</v>
      </c>
      <c r="Q157" s="320">
        <f>K157*(F157/100)*1000</f>
        <v>269.97185102464312</v>
      </c>
      <c r="R157" s="320">
        <f>L157*(F157/100)*1000</f>
        <v>333.98579508203272</v>
      </c>
      <c r="S157" s="277">
        <v>370</v>
      </c>
      <c r="T157" s="345">
        <f t="shared" si="47"/>
        <v>304.70588235294116</v>
      </c>
      <c r="U157" s="284">
        <f t="shared" si="48"/>
        <v>119.79151668659529</v>
      </c>
      <c r="V157" s="346" t="s">
        <v>706</v>
      </c>
      <c r="W157" s="285">
        <f t="shared" si="39"/>
        <v>304.70588235294116</v>
      </c>
    </row>
    <row r="158" spans="1:24" x14ac:dyDescent="0.2">
      <c r="A158" s="269">
        <v>12.2</v>
      </c>
      <c r="B158" s="270">
        <f t="shared" si="35"/>
        <v>285.34999999999997</v>
      </c>
      <c r="C158" s="271">
        <f t="shared" si="36"/>
        <v>9.6570978202207822</v>
      </c>
      <c r="D158" s="272">
        <v>7.78</v>
      </c>
      <c r="E158" s="273">
        <f t="shared" si="37"/>
        <v>1.3097143495653879E-2</v>
      </c>
      <c r="F158" s="274">
        <f t="shared" si="44"/>
        <v>1.309714349565388</v>
      </c>
      <c r="G158" s="409" t="s">
        <v>286</v>
      </c>
      <c r="H158" s="276" t="s">
        <v>853</v>
      </c>
      <c r="I158" s="276" t="s">
        <v>112</v>
      </c>
      <c r="J158" s="277">
        <v>21.4</v>
      </c>
      <c r="K158" s="278" t="s">
        <v>37</v>
      </c>
      <c r="L158" s="278" t="s">
        <v>37</v>
      </c>
      <c r="M158" s="279">
        <f t="shared" si="45"/>
        <v>340.35078422221369</v>
      </c>
      <c r="N158" s="320" t="s">
        <v>37</v>
      </c>
      <c r="O158" s="334" t="s">
        <v>37</v>
      </c>
      <c r="P158" s="279">
        <f t="shared" si="46"/>
        <v>280.27887080699298</v>
      </c>
      <c r="Q158" s="320" t="s">
        <v>37</v>
      </c>
      <c r="R158" s="320" t="s">
        <v>37</v>
      </c>
      <c r="S158" s="277">
        <v>340</v>
      </c>
      <c r="T158" s="345">
        <f t="shared" si="47"/>
        <v>280</v>
      </c>
      <c r="U158" s="284">
        <f t="shared" si="48"/>
        <v>121.55385150793346</v>
      </c>
      <c r="V158" s="346" t="s">
        <v>706</v>
      </c>
      <c r="W158" s="285">
        <f t="shared" si="39"/>
        <v>280</v>
      </c>
    </row>
    <row r="159" spans="1:24" x14ac:dyDescent="0.2">
      <c r="A159" s="269">
        <v>13.1</v>
      </c>
      <c r="B159" s="270">
        <f t="shared" si="35"/>
        <v>286.25</v>
      </c>
      <c r="C159" s="271">
        <f t="shared" si="36"/>
        <v>9.6270184279475988</v>
      </c>
      <c r="D159" s="272">
        <v>7.81</v>
      </c>
      <c r="E159" s="273">
        <f t="shared" si="37"/>
        <v>1.5011113288687636E-2</v>
      </c>
      <c r="F159" s="274">
        <f t="shared" si="44"/>
        <v>1.5011113288687636</v>
      </c>
      <c r="G159" s="409" t="s">
        <v>290</v>
      </c>
      <c r="H159" s="276" t="s">
        <v>854</v>
      </c>
      <c r="I159" s="276" t="s">
        <v>112</v>
      </c>
      <c r="J159" s="277">
        <v>30.8</v>
      </c>
      <c r="K159" s="278">
        <v>28.2</v>
      </c>
      <c r="L159" s="278">
        <v>33.799999999999997</v>
      </c>
      <c r="M159" s="279">
        <f t="shared" si="45"/>
        <v>561.43568827149863</v>
      </c>
      <c r="N159" s="320">
        <f>Q159/0.8235</f>
        <v>514.04176653429431</v>
      </c>
      <c r="O159" s="334">
        <f>R159/0.8235</f>
        <v>616.12098258365756</v>
      </c>
      <c r="P159" s="279">
        <f t="shared" si="46"/>
        <v>462.34228929157916</v>
      </c>
      <c r="Q159" s="320">
        <f>K159*(F159/100)*1000</f>
        <v>423.31339474099133</v>
      </c>
      <c r="R159" s="320">
        <f>L159*(F159/100)*1000</f>
        <v>507.37562915764198</v>
      </c>
      <c r="S159" s="277">
        <v>560</v>
      </c>
      <c r="T159" s="345">
        <f t="shared" si="47"/>
        <v>461.1764705882353</v>
      </c>
      <c r="U159" s="284">
        <f t="shared" si="48"/>
        <v>121.73988138540149</v>
      </c>
      <c r="V159" s="346" t="s">
        <v>706</v>
      </c>
      <c r="W159" s="285">
        <f t="shared" si="39"/>
        <v>461.1764705882353</v>
      </c>
    </row>
    <row r="160" spans="1:24" x14ac:dyDescent="0.2">
      <c r="A160" s="286">
        <v>12.8</v>
      </c>
      <c r="B160" s="287">
        <f t="shared" si="35"/>
        <v>285.95</v>
      </c>
      <c r="C160" s="288">
        <f t="shared" si="36"/>
        <v>9.6370238538205992</v>
      </c>
      <c r="D160" s="289">
        <v>7.8</v>
      </c>
      <c r="E160" s="290">
        <f t="shared" si="37"/>
        <v>1.434501702474348E-2</v>
      </c>
      <c r="F160" s="291">
        <f t="shared" si="44"/>
        <v>1.4345017024743481</v>
      </c>
      <c r="G160" s="411" t="s">
        <v>291</v>
      </c>
      <c r="H160" s="226" t="s">
        <v>855</v>
      </c>
      <c r="I160" s="226" t="s">
        <v>112</v>
      </c>
      <c r="J160" s="293">
        <v>32.200000000000003</v>
      </c>
      <c r="K160" s="424">
        <v>29</v>
      </c>
      <c r="L160" s="294">
        <v>35.700000000000003</v>
      </c>
      <c r="M160" s="279">
        <f t="shared" si="45"/>
        <v>560.91019817454776</v>
      </c>
      <c r="N160" s="320">
        <f>Q160/0.8235</f>
        <v>505.16756978453054</v>
      </c>
      <c r="O160" s="334">
        <f>R160/0.8235</f>
        <v>621.87869797612905</v>
      </c>
      <c r="P160" s="295">
        <f t="shared" si="46"/>
        <v>461.90954819674005</v>
      </c>
      <c r="Q160" s="328">
        <f>K160*(F160/100)*1000</f>
        <v>416.00549371756091</v>
      </c>
      <c r="R160" s="328">
        <f>L160*(F160/100)*1000</f>
        <v>512.11710778334225</v>
      </c>
      <c r="S160" s="293">
        <v>560</v>
      </c>
      <c r="T160" s="349">
        <f t="shared" si="47"/>
        <v>461.1764705882353</v>
      </c>
      <c r="U160" s="300">
        <f t="shared" si="48"/>
        <v>121.62593582866469</v>
      </c>
      <c r="V160" s="340" t="s">
        <v>706</v>
      </c>
      <c r="W160" s="302">
        <f t="shared" si="39"/>
        <v>461.1764705882353</v>
      </c>
    </row>
    <row r="161" spans="1:24" x14ac:dyDescent="0.2">
      <c r="A161" s="252">
        <v>25</v>
      </c>
      <c r="B161" s="253">
        <f t="shared" si="35"/>
        <v>298.14999999999998</v>
      </c>
      <c r="C161" s="254">
        <f t="shared" si="36"/>
        <v>9.2463765453630735</v>
      </c>
      <c r="D161" s="255">
        <v>6.6</v>
      </c>
      <c r="E161" s="256">
        <f t="shared" si="37"/>
        <v>2.2523928991630168E-3</v>
      </c>
      <c r="F161" s="257">
        <f t="shared" si="44"/>
        <v>0.22523928991630168</v>
      </c>
      <c r="G161" s="408" t="s">
        <v>23</v>
      </c>
      <c r="H161" s="212" t="s">
        <v>856</v>
      </c>
      <c r="I161" s="212" t="s">
        <v>31</v>
      </c>
      <c r="J161" s="259" t="s">
        <v>37</v>
      </c>
      <c r="K161" s="260"/>
      <c r="L161" s="260"/>
      <c r="M161" s="339"/>
      <c r="N161" s="262"/>
      <c r="O161" s="263"/>
      <c r="P161" s="373"/>
      <c r="Q161" s="262"/>
      <c r="R161" s="263"/>
      <c r="S161" s="259">
        <v>1950</v>
      </c>
      <c r="T161" s="342">
        <f t="shared" si="47"/>
        <v>1605.8823529411766</v>
      </c>
      <c r="U161" s="303" t="s">
        <v>582</v>
      </c>
      <c r="V161" s="267" t="s">
        <v>706</v>
      </c>
      <c r="W161" s="268">
        <f t="shared" si="39"/>
        <v>1605.8823529411766</v>
      </c>
    </row>
    <row r="162" spans="1:24" x14ac:dyDescent="0.2">
      <c r="A162" s="269">
        <v>25</v>
      </c>
      <c r="B162" s="270">
        <f t="shared" si="35"/>
        <v>298.14999999999998</v>
      </c>
      <c r="C162" s="271">
        <f t="shared" si="36"/>
        <v>9.2463765453630735</v>
      </c>
      <c r="D162" s="272">
        <v>6.6</v>
      </c>
      <c r="E162" s="273">
        <f t="shared" si="37"/>
        <v>2.2523928991630168E-3</v>
      </c>
      <c r="F162" s="274">
        <f t="shared" si="44"/>
        <v>0.22523928991630168</v>
      </c>
      <c r="G162" s="409" t="s">
        <v>39</v>
      </c>
      <c r="H162" s="276" t="s">
        <v>856</v>
      </c>
      <c r="I162" s="276" t="s">
        <v>40</v>
      </c>
      <c r="J162" s="277" t="s">
        <v>37</v>
      </c>
      <c r="K162" s="278"/>
      <c r="L162" s="278"/>
      <c r="M162" s="321"/>
      <c r="N162" s="280"/>
      <c r="O162" s="281"/>
      <c r="P162" s="322"/>
      <c r="Q162" s="280"/>
      <c r="R162" s="281"/>
      <c r="S162" s="277">
        <v>2630</v>
      </c>
      <c r="T162" s="345">
        <f t="shared" si="47"/>
        <v>2165.8823529411766</v>
      </c>
      <c r="U162" s="304" t="s">
        <v>582</v>
      </c>
      <c r="V162" s="218" t="s">
        <v>706</v>
      </c>
      <c r="W162" s="285">
        <f t="shared" si="39"/>
        <v>2165.8823529411766</v>
      </c>
    </row>
    <row r="163" spans="1:24" x14ac:dyDescent="0.2">
      <c r="A163" s="269">
        <v>25</v>
      </c>
      <c r="B163" s="270">
        <f t="shared" si="35"/>
        <v>298.14999999999998</v>
      </c>
      <c r="C163" s="271">
        <f t="shared" si="36"/>
        <v>9.2463765453630735</v>
      </c>
      <c r="D163" s="272">
        <v>6.6</v>
      </c>
      <c r="E163" s="273">
        <f t="shared" si="37"/>
        <v>2.2523928991630168E-3</v>
      </c>
      <c r="F163" s="274">
        <f t="shared" si="44"/>
        <v>0.22523928991630168</v>
      </c>
      <c r="G163" s="409" t="s">
        <v>43</v>
      </c>
      <c r="H163" s="276" t="s">
        <v>857</v>
      </c>
      <c r="I163" s="276" t="s">
        <v>31</v>
      </c>
      <c r="J163" s="277" t="s">
        <v>37</v>
      </c>
      <c r="K163" s="278"/>
      <c r="L163" s="278"/>
      <c r="M163" s="321"/>
      <c r="N163" s="280"/>
      <c r="O163" s="281"/>
      <c r="P163" s="322"/>
      <c r="Q163" s="280"/>
      <c r="R163" s="281"/>
      <c r="S163" s="277">
        <v>1700</v>
      </c>
      <c r="T163" s="345">
        <f t="shared" si="47"/>
        <v>1400</v>
      </c>
      <c r="U163" s="304" t="s">
        <v>582</v>
      </c>
      <c r="V163" s="218" t="s">
        <v>706</v>
      </c>
      <c r="W163" s="285">
        <f t="shared" si="39"/>
        <v>1400</v>
      </c>
    </row>
    <row r="164" spans="1:24" x14ac:dyDescent="0.2">
      <c r="A164" s="286">
        <v>25</v>
      </c>
      <c r="B164" s="287">
        <f t="shared" si="35"/>
        <v>298.14999999999998</v>
      </c>
      <c r="C164" s="288">
        <f t="shared" si="36"/>
        <v>9.2463765453630735</v>
      </c>
      <c r="D164" s="289">
        <v>6.6</v>
      </c>
      <c r="E164" s="290">
        <f t="shared" si="37"/>
        <v>2.2523928991630168E-3</v>
      </c>
      <c r="F164" s="291">
        <f t="shared" si="44"/>
        <v>0.22523928991630168</v>
      </c>
      <c r="G164" s="411" t="s">
        <v>46</v>
      </c>
      <c r="H164" s="226" t="s">
        <v>857</v>
      </c>
      <c r="I164" s="226" t="s">
        <v>40</v>
      </c>
      <c r="J164" s="293" t="s">
        <v>37</v>
      </c>
      <c r="K164" s="294"/>
      <c r="L164" s="294"/>
      <c r="M164" s="412"/>
      <c r="N164" s="296"/>
      <c r="O164" s="297"/>
      <c r="P164" s="380"/>
      <c r="Q164" s="296"/>
      <c r="R164" s="297"/>
      <c r="S164" s="293">
        <v>2310</v>
      </c>
      <c r="T164" s="349">
        <f t="shared" si="47"/>
        <v>1902.3529411764705</v>
      </c>
      <c r="U164" s="312" t="s">
        <v>582</v>
      </c>
      <c r="V164" s="301" t="s">
        <v>706</v>
      </c>
      <c r="W164" s="302">
        <f t="shared" si="39"/>
        <v>1902.3529411764705</v>
      </c>
    </row>
    <row r="165" spans="1:24" x14ac:dyDescent="0.2">
      <c r="A165" s="354">
        <v>25</v>
      </c>
      <c r="B165" s="355">
        <f t="shared" si="35"/>
        <v>298.14999999999998</v>
      </c>
      <c r="C165" s="356">
        <f t="shared" si="36"/>
        <v>9.2463765453630735</v>
      </c>
      <c r="D165" s="357" t="s">
        <v>37</v>
      </c>
      <c r="E165" s="358" t="e">
        <f t="shared" si="37"/>
        <v>#VALUE!</v>
      </c>
      <c r="F165" s="359" t="e">
        <f t="shared" si="44"/>
        <v>#VALUE!</v>
      </c>
      <c r="G165" s="425" t="s">
        <v>858</v>
      </c>
      <c r="H165" s="361" t="s">
        <v>859</v>
      </c>
      <c r="I165" s="361" t="s">
        <v>54</v>
      </c>
      <c r="J165" s="362" t="s">
        <v>37</v>
      </c>
      <c r="K165" s="363"/>
      <c r="L165" s="363"/>
      <c r="M165" s="402"/>
      <c r="N165" s="365"/>
      <c r="O165" s="366"/>
      <c r="P165" s="364"/>
      <c r="Q165" s="365"/>
      <c r="R165" s="366"/>
      <c r="S165" s="403">
        <f t="shared" ref="S165" si="49">T165*17/14</f>
        <v>129.92857142857142</v>
      </c>
      <c r="T165" s="368">
        <v>107</v>
      </c>
      <c r="U165" s="404" t="s">
        <v>582</v>
      </c>
      <c r="V165" s="401" t="s">
        <v>706</v>
      </c>
      <c r="W165" s="414">
        <f t="shared" si="39"/>
        <v>107</v>
      </c>
    </row>
    <row r="166" spans="1:24" x14ac:dyDescent="0.2">
      <c r="A166" s="252">
        <v>13.2</v>
      </c>
      <c r="B166" s="253">
        <f t="shared" si="35"/>
        <v>286.34999999999997</v>
      </c>
      <c r="C166" s="254">
        <f t="shared" si="36"/>
        <v>9.6236879448227715</v>
      </c>
      <c r="D166" s="255">
        <v>7.69</v>
      </c>
      <c r="E166" s="256">
        <f t="shared" si="37"/>
        <v>1.1515476915047266E-2</v>
      </c>
      <c r="F166" s="257">
        <f t="shared" si="44"/>
        <v>1.1515476915047265</v>
      </c>
      <c r="G166" s="408" t="s">
        <v>310</v>
      </c>
      <c r="H166" s="212" t="s">
        <v>860</v>
      </c>
      <c r="I166" s="212" t="s">
        <v>112</v>
      </c>
      <c r="J166" s="259" t="s">
        <v>37</v>
      </c>
      <c r="K166" s="260"/>
      <c r="L166" s="260"/>
      <c r="M166" s="339"/>
      <c r="N166" s="262"/>
      <c r="O166" s="263"/>
      <c r="P166" s="373"/>
      <c r="Q166" s="262"/>
      <c r="R166" s="263"/>
      <c r="S166" s="259">
        <v>322</v>
      </c>
      <c r="T166" s="342">
        <f t="shared" si="47"/>
        <v>265.1764705882353</v>
      </c>
      <c r="U166" s="303" t="s">
        <v>582</v>
      </c>
      <c r="V166" s="267" t="s">
        <v>706</v>
      </c>
      <c r="W166" s="268">
        <f t="shared" si="39"/>
        <v>265.1764705882353</v>
      </c>
    </row>
    <row r="167" spans="1:24" x14ac:dyDescent="0.2">
      <c r="A167" s="286">
        <v>13.2</v>
      </c>
      <c r="B167" s="287">
        <f t="shared" si="35"/>
        <v>286.34999999999997</v>
      </c>
      <c r="C167" s="288">
        <f t="shared" si="36"/>
        <v>9.6236879448227715</v>
      </c>
      <c r="D167" s="289">
        <v>7.69</v>
      </c>
      <c r="E167" s="290">
        <f t="shared" si="37"/>
        <v>1.1515476915047266E-2</v>
      </c>
      <c r="F167" s="291">
        <f t="shared" si="44"/>
        <v>1.1515476915047265</v>
      </c>
      <c r="G167" s="411" t="s">
        <v>316</v>
      </c>
      <c r="H167" s="226" t="s">
        <v>861</v>
      </c>
      <c r="I167" s="226" t="s">
        <v>112</v>
      </c>
      <c r="J167" s="293" t="s">
        <v>37</v>
      </c>
      <c r="K167" s="294"/>
      <c r="L167" s="294"/>
      <c r="M167" s="412"/>
      <c r="N167" s="296"/>
      <c r="O167" s="297"/>
      <c r="P167" s="380"/>
      <c r="Q167" s="296"/>
      <c r="R167" s="297"/>
      <c r="S167" s="293">
        <v>426</v>
      </c>
      <c r="T167" s="349">
        <f t="shared" si="47"/>
        <v>350.8235294117647</v>
      </c>
      <c r="U167" s="312" t="s">
        <v>582</v>
      </c>
      <c r="V167" s="301" t="s">
        <v>706</v>
      </c>
      <c r="W167" s="302">
        <f t="shared" si="39"/>
        <v>350.8235294117647</v>
      </c>
    </row>
    <row r="168" spans="1:24" x14ac:dyDescent="0.2">
      <c r="A168" s="252">
        <v>20</v>
      </c>
      <c r="B168" s="253">
        <f t="shared" si="35"/>
        <v>293.14999999999998</v>
      </c>
      <c r="C168" s="254">
        <f t="shared" si="36"/>
        <v>9.4025456830973919</v>
      </c>
      <c r="D168" s="255">
        <v>8.26</v>
      </c>
      <c r="E168" s="256">
        <f t="shared" si="37"/>
        <v>6.718175557291195E-2</v>
      </c>
      <c r="F168" s="257">
        <f t="shared" si="44"/>
        <v>6.718175557291195</v>
      </c>
      <c r="G168" s="408" t="s">
        <v>138</v>
      </c>
      <c r="H168" s="212" t="s">
        <v>862</v>
      </c>
      <c r="I168" s="212" t="s">
        <v>54</v>
      </c>
      <c r="J168" s="259">
        <v>0.25</v>
      </c>
      <c r="K168" s="260"/>
      <c r="L168" s="260"/>
      <c r="M168" s="310">
        <f>P168/0.8235</f>
        <v>20.395189912845158</v>
      </c>
      <c r="N168" s="317"/>
      <c r="O168" s="324"/>
      <c r="P168" s="310">
        <f>J168*(F168/100)*1000</f>
        <v>16.795438893227988</v>
      </c>
      <c r="Q168" s="317"/>
      <c r="R168" s="317"/>
      <c r="S168" s="259" t="s">
        <v>37</v>
      </c>
      <c r="T168" s="265" t="s">
        <v>37</v>
      </c>
      <c r="U168" s="303" t="s">
        <v>582</v>
      </c>
      <c r="V168" s="267" t="s">
        <v>712</v>
      </c>
      <c r="W168" s="311">
        <f t="shared" si="39"/>
        <v>16.795438893227988</v>
      </c>
      <c r="X168" t="s">
        <v>863</v>
      </c>
    </row>
    <row r="169" spans="1:24" x14ac:dyDescent="0.2">
      <c r="A169" s="269">
        <v>20</v>
      </c>
      <c r="B169" s="270">
        <f t="shared" si="35"/>
        <v>293.14999999999998</v>
      </c>
      <c r="C169" s="271">
        <f t="shared" si="36"/>
        <v>9.4025456830973919</v>
      </c>
      <c r="D169" s="272">
        <v>8.26</v>
      </c>
      <c r="E169" s="273">
        <f t="shared" si="37"/>
        <v>6.718175557291195E-2</v>
      </c>
      <c r="F169" s="274">
        <f t="shared" si="44"/>
        <v>6.718175557291195</v>
      </c>
      <c r="G169" s="409" t="s">
        <v>143</v>
      </c>
      <c r="H169" s="276" t="s">
        <v>862</v>
      </c>
      <c r="I169" s="276" t="s">
        <v>67</v>
      </c>
      <c r="J169" s="277">
        <v>0.53</v>
      </c>
      <c r="K169" s="278"/>
      <c r="L169" s="278"/>
      <c r="M169" s="306">
        <f>P169/0.8235</f>
        <v>43.237802615231736</v>
      </c>
      <c r="N169" s="320"/>
      <c r="O169" s="334"/>
      <c r="P169" s="306">
        <f>J169*(F169/100)*1000</f>
        <v>35.606330453643338</v>
      </c>
      <c r="Q169" s="320"/>
      <c r="R169" s="320"/>
      <c r="S169" s="277" t="s">
        <v>37</v>
      </c>
      <c r="T169" s="283" t="s">
        <v>37</v>
      </c>
      <c r="U169" s="304" t="s">
        <v>582</v>
      </c>
      <c r="V169" s="218" t="s">
        <v>712</v>
      </c>
      <c r="W169" s="307">
        <f t="shared" si="39"/>
        <v>35.606330453643338</v>
      </c>
    </row>
    <row r="170" spans="1:24" x14ac:dyDescent="0.2">
      <c r="A170" s="286">
        <v>20</v>
      </c>
      <c r="B170" s="287">
        <f t="shared" si="35"/>
        <v>293.14999999999998</v>
      </c>
      <c r="C170" s="288">
        <f t="shared" si="36"/>
        <v>9.4025456830973919</v>
      </c>
      <c r="D170" s="289">
        <v>8.26</v>
      </c>
      <c r="E170" s="290">
        <f t="shared" si="37"/>
        <v>6.718175557291195E-2</v>
      </c>
      <c r="F170" s="291">
        <f t="shared" si="44"/>
        <v>6.718175557291195</v>
      </c>
      <c r="G170" s="411" t="s">
        <v>144</v>
      </c>
      <c r="H170" s="226" t="s">
        <v>864</v>
      </c>
      <c r="I170" s="226" t="s">
        <v>31</v>
      </c>
      <c r="J170" s="293">
        <v>0.54</v>
      </c>
      <c r="K170" s="294">
        <v>0.38</v>
      </c>
      <c r="L170" s="294">
        <v>0.76</v>
      </c>
      <c r="M170" s="306">
        <f>P170/0.8235</f>
        <v>44.05361021174555</v>
      </c>
      <c r="N170" s="320">
        <f>Q170/0.8235</f>
        <v>31.000688667524642</v>
      </c>
      <c r="O170" s="334">
        <f>R170/0.8235</f>
        <v>62.001377335049284</v>
      </c>
      <c r="P170" s="309">
        <f>J170*(F170/100)*1000</f>
        <v>36.278148009372458</v>
      </c>
      <c r="Q170" s="328">
        <f>K170*(F170/100)*1000</f>
        <v>25.529067117706543</v>
      </c>
      <c r="R170" s="328">
        <f>L170*(F170/100)*1000</f>
        <v>51.058134235413085</v>
      </c>
      <c r="S170" s="293" t="s">
        <v>37</v>
      </c>
      <c r="T170" s="299" t="s">
        <v>37</v>
      </c>
      <c r="U170" s="312" t="s">
        <v>582</v>
      </c>
      <c r="V170" s="301" t="s">
        <v>712</v>
      </c>
      <c r="W170" s="313">
        <f t="shared" si="39"/>
        <v>36.278148009372458</v>
      </c>
    </row>
    <row r="171" spans="1:24" x14ac:dyDescent="0.2">
      <c r="A171" s="252">
        <v>20</v>
      </c>
      <c r="B171" s="253">
        <f t="shared" si="35"/>
        <v>293.14999999999998</v>
      </c>
      <c r="C171" s="254">
        <f t="shared" si="36"/>
        <v>9.4025456830973919</v>
      </c>
      <c r="D171" s="255">
        <v>8.1999999999999993</v>
      </c>
      <c r="E171" s="256">
        <f t="shared" si="37"/>
        <v>5.9024540412550036E-2</v>
      </c>
      <c r="F171" s="257">
        <f t="shared" si="44"/>
        <v>5.9024540412550035</v>
      </c>
      <c r="G171" s="408" t="s">
        <v>171</v>
      </c>
      <c r="H171" s="212" t="s">
        <v>865</v>
      </c>
      <c r="I171" s="212" t="s">
        <v>54</v>
      </c>
      <c r="J171" s="259">
        <v>0.81</v>
      </c>
      <c r="K171" s="260"/>
      <c r="L171" s="260"/>
      <c r="M171" s="310">
        <f>P171/0.8235</f>
        <v>58.056924995950858</v>
      </c>
      <c r="N171" s="317"/>
      <c r="O171" s="324"/>
      <c r="P171" s="310">
        <f>J171*(F171/100)*1000</f>
        <v>47.809877734165532</v>
      </c>
      <c r="Q171" s="316"/>
      <c r="R171" s="316"/>
      <c r="S171" s="259" t="s">
        <v>37</v>
      </c>
      <c r="T171" s="265" t="s">
        <v>37</v>
      </c>
      <c r="U171" s="303" t="s">
        <v>582</v>
      </c>
      <c r="V171" s="267" t="s">
        <v>712</v>
      </c>
      <c r="W171" s="311">
        <f t="shared" si="39"/>
        <v>47.809877734165532</v>
      </c>
      <c r="X171" t="s">
        <v>863</v>
      </c>
    </row>
    <row r="172" spans="1:24" x14ac:dyDescent="0.2">
      <c r="A172" s="269">
        <v>20</v>
      </c>
      <c r="B172" s="270">
        <f t="shared" si="35"/>
        <v>293.14999999999998</v>
      </c>
      <c r="C172" s="271">
        <f t="shared" si="36"/>
        <v>9.4025456830973919</v>
      </c>
      <c r="D172" s="272">
        <v>8.1999999999999993</v>
      </c>
      <c r="E172" s="273">
        <f t="shared" si="37"/>
        <v>5.9024540412550036E-2</v>
      </c>
      <c r="F172" s="274">
        <f t="shared" si="44"/>
        <v>5.9024540412550035</v>
      </c>
      <c r="G172" s="409" t="s">
        <v>173</v>
      </c>
      <c r="H172" s="276" t="s">
        <v>865</v>
      </c>
      <c r="I172" s="276" t="s">
        <v>133</v>
      </c>
      <c r="J172" s="277">
        <v>0.89</v>
      </c>
      <c r="K172" s="278">
        <v>0.84</v>
      </c>
      <c r="L172" s="278">
        <v>0.92</v>
      </c>
      <c r="M172" s="306">
        <f>P172/0.8235</f>
        <v>63.790942279501564</v>
      </c>
      <c r="N172" s="319">
        <f>Q172/0.8235</f>
        <v>60.207181477282369</v>
      </c>
      <c r="O172" s="344">
        <f>R172/0.8235</f>
        <v>65.941198760833075</v>
      </c>
      <c r="P172" s="306">
        <f>J172*(F172/100)*1000</f>
        <v>52.531840967169536</v>
      </c>
      <c r="Q172" s="319">
        <f>K172*(F172/100)*1000</f>
        <v>49.58061394654203</v>
      </c>
      <c r="R172" s="319">
        <f>L172*(F172/100)*1000</f>
        <v>54.302577179546034</v>
      </c>
      <c r="S172" s="277" t="s">
        <v>37</v>
      </c>
      <c r="T172" s="283" t="s">
        <v>37</v>
      </c>
      <c r="U172" s="304" t="s">
        <v>582</v>
      </c>
      <c r="V172" s="218" t="s">
        <v>712</v>
      </c>
      <c r="W172" s="307">
        <f t="shared" si="39"/>
        <v>52.531840967169536</v>
      </c>
    </row>
    <row r="173" spans="1:24" x14ac:dyDescent="0.2">
      <c r="A173" s="269">
        <v>20</v>
      </c>
      <c r="B173" s="270">
        <f t="shared" si="35"/>
        <v>293.14999999999998</v>
      </c>
      <c r="C173" s="271">
        <f t="shared" si="36"/>
        <v>9.4025456830973919</v>
      </c>
      <c r="D173" s="272">
        <v>8.1999999999999993</v>
      </c>
      <c r="E173" s="273">
        <f t="shared" si="37"/>
        <v>5.9024540412550036E-2</v>
      </c>
      <c r="F173" s="274">
        <f t="shared" si="44"/>
        <v>5.9024540412550035</v>
      </c>
      <c r="G173" s="409" t="s">
        <v>174</v>
      </c>
      <c r="H173" s="276" t="s">
        <v>866</v>
      </c>
      <c r="I173" s="276" t="s">
        <v>54</v>
      </c>
      <c r="J173" s="277" t="s">
        <v>175</v>
      </c>
      <c r="K173" s="278"/>
      <c r="L173" s="278"/>
      <c r="M173" s="306" t="s">
        <v>867</v>
      </c>
      <c r="N173" s="320"/>
      <c r="O173" s="334"/>
      <c r="P173" s="279" t="s">
        <v>868</v>
      </c>
      <c r="Q173" s="320"/>
      <c r="R173" s="320"/>
      <c r="S173" s="277" t="s">
        <v>37</v>
      </c>
      <c r="T173" s="283" t="s">
        <v>37</v>
      </c>
      <c r="U173" s="304" t="s">
        <v>582</v>
      </c>
      <c r="V173" s="218" t="s">
        <v>712</v>
      </c>
      <c r="W173" s="307" t="str">
        <f t="shared" si="39"/>
        <v>&lt;23.6</v>
      </c>
    </row>
    <row r="174" spans="1:24" x14ac:dyDescent="0.2">
      <c r="A174" s="269">
        <v>20</v>
      </c>
      <c r="B174" s="270">
        <f t="shared" si="35"/>
        <v>293.14999999999998</v>
      </c>
      <c r="C174" s="271">
        <f t="shared" si="36"/>
        <v>9.4025456830973919</v>
      </c>
      <c r="D174" s="272">
        <v>8.1999999999999993</v>
      </c>
      <c r="E174" s="273">
        <f t="shared" si="37"/>
        <v>5.9024540412550036E-2</v>
      </c>
      <c r="F174" s="274">
        <f t="shared" si="44"/>
        <v>5.9024540412550035</v>
      </c>
      <c r="G174" s="409" t="s">
        <v>176</v>
      </c>
      <c r="H174" s="276" t="s">
        <v>866</v>
      </c>
      <c r="I174" s="276" t="s">
        <v>133</v>
      </c>
      <c r="J174" s="277" t="s">
        <v>175</v>
      </c>
      <c r="K174" s="278"/>
      <c r="L174" s="278"/>
      <c r="M174" s="306" t="s">
        <v>867</v>
      </c>
      <c r="N174" s="320"/>
      <c r="O174" s="334"/>
      <c r="P174" s="279" t="s">
        <v>868</v>
      </c>
      <c r="Q174" s="320"/>
      <c r="R174" s="320"/>
      <c r="S174" s="277" t="s">
        <v>37</v>
      </c>
      <c r="T174" s="283" t="s">
        <v>37</v>
      </c>
      <c r="U174" s="304" t="s">
        <v>582</v>
      </c>
      <c r="V174" s="218" t="s">
        <v>712</v>
      </c>
      <c r="W174" s="307" t="str">
        <f t="shared" si="39"/>
        <v>&lt;23.6</v>
      </c>
    </row>
    <row r="175" spans="1:24" x14ac:dyDescent="0.2">
      <c r="A175" s="269">
        <v>20</v>
      </c>
      <c r="B175" s="270">
        <f t="shared" si="35"/>
        <v>293.14999999999998</v>
      </c>
      <c r="C175" s="271">
        <f t="shared" si="36"/>
        <v>9.4025456830973919</v>
      </c>
      <c r="D175" s="272">
        <v>8.1999999999999993</v>
      </c>
      <c r="E175" s="273">
        <f t="shared" si="37"/>
        <v>5.9024540412550036E-2</v>
      </c>
      <c r="F175" s="274">
        <f t="shared" si="44"/>
        <v>5.9024540412550035</v>
      </c>
      <c r="G175" s="409" t="s">
        <v>145</v>
      </c>
      <c r="H175" s="276" t="s">
        <v>869</v>
      </c>
      <c r="I175" s="276" t="s">
        <v>54</v>
      </c>
      <c r="J175" s="277">
        <v>0.28000000000000003</v>
      </c>
      <c r="K175" s="278"/>
      <c r="L175" s="278"/>
      <c r="M175" s="306">
        <f>P175/0.8235</f>
        <v>20.069060492427457</v>
      </c>
      <c r="N175" s="319"/>
      <c r="O175" s="344"/>
      <c r="P175" s="306">
        <f>J175*(F175/100)*1000</f>
        <v>16.526871315514011</v>
      </c>
      <c r="Q175" s="319"/>
      <c r="R175" s="319"/>
      <c r="S175" s="277" t="s">
        <v>37</v>
      </c>
      <c r="T175" s="283" t="s">
        <v>37</v>
      </c>
      <c r="U175" s="304" t="s">
        <v>582</v>
      </c>
      <c r="V175" s="218" t="s">
        <v>712</v>
      </c>
      <c r="W175" s="307">
        <f t="shared" si="39"/>
        <v>16.526871315514011</v>
      </c>
    </row>
    <row r="176" spans="1:24" x14ac:dyDescent="0.2">
      <c r="A176" s="269">
        <v>20</v>
      </c>
      <c r="B176" s="270">
        <f t="shared" si="35"/>
        <v>293.14999999999998</v>
      </c>
      <c r="C176" s="271">
        <f t="shared" si="36"/>
        <v>9.4025456830973919</v>
      </c>
      <c r="D176" s="272">
        <v>8.1999999999999993</v>
      </c>
      <c r="E176" s="273">
        <f t="shared" si="37"/>
        <v>5.9024540412550036E-2</v>
      </c>
      <c r="F176" s="274">
        <f t="shared" si="44"/>
        <v>5.9024540412550035</v>
      </c>
      <c r="G176" s="409" t="s">
        <v>146</v>
      </c>
      <c r="H176" s="276" t="s">
        <v>869</v>
      </c>
      <c r="I176" s="276" t="s">
        <v>133</v>
      </c>
      <c r="J176" s="277" t="s">
        <v>134</v>
      </c>
      <c r="K176" s="278"/>
      <c r="L176" s="278"/>
      <c r="M176" s="306" t="s">
        <v>870</v>
      </c>
      <c r="N176" s="319"/>
      <c r="O176" s="344"/>
      <c r="P176" s="306" t="s">
        <v>871</v>
      </c>
      <c r="Q176" s="319"/>
      <c r="R176" s="319"/>
      <c r="S176" s="277" t="s">
        <v>37</v>
      </c>
      <c r="T176" s="283" t="s">
        <v>37</v>
      </c>
      <c r="U176" s="304" t="s">
        <v>582</v>
      </c>
      <c r="V176" s="218" t="s">
        <v>712</v>
      </c>
      <c r="W176" s="307" t="str">
        <f t="shared" si="39"/>
        <v>&lt;7.67</v>
      </c>
    </row>
    <row r="177" spans="1:24" x14ac:dyDescent="0.2">
      <c r="A177" s="269">
        <v>20</v>
      </c>
      <c r="B177" s="270">
        <f t="shared" si="35"/>
        <v>293.14999999999998</v>
      </c>
      <c r="C177" s="271">
        <f t="shared" si="36"/>
        <v>9.4025456830973919</v>
      </c>
      <c r="D177" s="272">
        <v>8.1999999999999993</v>
      </c>
      <c r="E177" s="273">
        <f t="shared" si="37"/>
        <v>5.9024540412550036E-2</v>
      </c>
      <c r="F177" s="274">
        <f t="shared" si="44"/>
        <v>5.9024540412550035</v>
      </c>
      <c r="G177" s="409" t="s">
        <v>147</v>
      </c>
      <c r="H177" s="276" t="s">
        <v>872</v>
      </c>
      <c r="I177" s="276" t="s">
        <v>133</v>
      </c>
      <c r="J177" s="277">
        <v>0.32</v>
      </c>
      <c r="K177" s="278">
        <v>0.28000000000000003</v>
      </c>
      <c r="L177" s="278">
        <v>1.1000000000000001</v>
      </c>
      <c r="M177" s="306">
        <f>P177/0.8235</f>
        <v>22.93606913420281</v>
      </c>
      <c r="N177" s="319">
        <f>Q177/0.8235</f>
        <v>20.069060492427457</v>
      </c>
      <c r="O177" s="344">
        <f>R177/0.8235</f>
        <v>78.842737648822165</v>
      </c>
      <c r="P177" s="306">
        <f>J177*(F177/100)*1000</f>
        <v>18.887852932016013</v>
      </c>
      <c r="Q177" s="319">
        <f>K177*(F177/100)*1000</f>
        <v>16.526871315514011</v>
      </c>
      <c r="R177" s="319">
        <f>L177*(F177/100)*1000</f>
        <v>64.926994453805051</v>
      </c>
      <c r="S177" s="277" t="s">
        <v>37</v>
      </c>
      <c r="T177" s="283" t="s">
        <v>37</v>
      </c>
      <c r="U177" s="304" t="s">
        <v>582</v>
      </c>
      <c r="V177" s="218" t="s">
        <v>712</v>
      </c>
      <c r="W177" s="307">
        <f t="shared" si="39"/>
        <v>18.887852932016013</v>
      </c>
    </row>
    <row r="178" spans="1:24" x14ac:dyDescent="0.2">
      <c r="A178" s="269">
        <v>20</v>
      </c>
      <c r="B178" s="270">
        <f t="shared" si="35"/>
        <v>293.14999999999998</v>
      </c>
      <c r="C178" s="271">
        <f t="shared" si="36"/>
        <v>9.4025456830973919</v>
      </c>
      <c r="D178" s="272">
        <v>8.1999999999999993</v>
      </c>
      <c r="E178" s="273">
        <f t="shared" si="37"/>
        <v>5.9024540412550036E-2</v>
      </c>
      <c r="F178" s="274">
        <f t="shared" si="44"/>
        <v>5.9024540412550035</v>
      </c>
      <c r="G178" s="409" t="s">
        <v>125</v>
      </c>
      <c r="H178" s="276" t="s">
        <v>873</v>
      </c>
      <c r="I178" s="276" t="s">
        <v>54</v>
      </c>
      <c r="J178" s="277">
        <v>0.44</v>
      </c>
      <c r="K178" s="278"/>
      <c r="L178" s="278"/>
      <c r="M178" s="306">
        <f>P178/0.8235</f>
        <v>31.537095059528859</v>
      </c>
      <c r="N178" s="319"/>
      <c r="O178" s="344"/>
      <c r="P178" s="306">
        <f>J178*(F178/100)*1000</f>
        <v>25.970797781522016</v>
      </c>
      <c r="Q178" s="319"/>
      <c r="R178" s="319"/>
      <c r="S178" s="277" t="s">
        <v>37</v>
      </c>
      <c r="T178" s="283" t="s">
        <v>37</v>
      </c>
      <c r="U178" s="304" t="s">
        <v>582</v>
      </c>
      <c r="V178" s="218" t="s">
        <v>712</v>
      </c>
      <c r="W178" s="307">
        <f t="shared" si="39"/>
        <v>25.970797781522016</v>
      </c>
    </row>
    <row r="179" spans="1:24" x14ac:dyDescent="0.2">
      <c r="A179" s="269">
        <v>20</v>
      </c>
      <c r="B179" s="270">
        <f t="shared" si="35"/>
        <v>293.14999999999998</v>
      </c>
      <c r="C179" s="271">
        <f t="shared" si="36"/>
        <v>9.4025456830973919</v>
      </c>
      <c r="D179" s="272">
        <v>8.1999999999999993</v>
      </c>
      <c r="E179" s="273">
        <f t="shared" si="37"/>
        <v>5.9024540412550036E-2</v>
      </c>
      <c r="F179" s="274">
        <f t="shared" si="44"/>
        <v>5.9024540412550035</v>
      </c>
      <c r="G179" s="409" t="s">
        <v>132</v>
      </c>
      <c r="H179" s="276" t="s">
        <v>873</v>
      </c>
      <c r="I179" s="276" t="s">
        <v>133</v>
      </c>
      <c r="J179" s="277" t="s">
        <v>134</v>
      </c>
      <c r="K179" s="278"/>
      <c r="L179" s="278"/>
      <c r="M179" s="322" t="s">
        <v>874</v>
      </c>
      <c r="N179" s="319"/>
      <c r="O179" s="344"/>
      <c r="P179" s="322" t="s">
        <v>871</v>
      </c>
      <c r="Q179" s="319"/>
      <c r="R179" s="319"/>
      <c r="S179" s="277" t="s">
        <v>37</v>
      </c>
      <c r="T179" s="283" t="s">
        <v>37</v>
      </c>
      <c r="U179" s="304" t="s">
        <v>582</v>
      </c>
      <c r="V179" s="218" t="s">
        <v>712</v>
      </c>
      <c r="W179" s="307" t="str">
        <f t="shared" si="39"/>
        <v>&lt;7.67</v>
      </c>
    </row>
    <row r="180" spans="1:24" x14ac:dyDescent="0.2">
      <c r="A180" s="286">
        <v>20</v>
      </c>
      <c r="B180" s="287">
        <f t="shared" si="35"/>
        <v>293.14999999999998</v>
      </c>
      <c r="C180" s="288">
        <f t="shared" si="36"/>
        <v>9.4025456830973919</v>
      </c>
      <c r="D180" s="289">
        <v>8.1999999999999993</v>
      </c>
      <c r="E180" s="290">
        <f t="shared" si="37"/>
        <v>5.9024540412550036E-2</v>
      </c>
      <c r="F180" s="291">
        <f t="shared" si="44"/>
        <v>5.9024540412550035</v>
      </c>
      <c r="G180" s="411" t="s">
        <v>135</v>
      </c>
      <c r="H180" s="226" t="s">
        <v>875</v>
      </c>
      <c r="I180" s="226" t="s">
        <v>133</v>
      </c>
      <c r="J180" s="293">
        <v>0.48</v>
      </c>
      <c r="K180" s="294">
        <v>0.4</v>
      </c>
      <c r="L180" s="294">
        <v>0.5</v>
      </c>
      <c r="M180" s="309">
        <f>P180/0.8235</f>
        <v>34.404103701304209</v>
      </c>
      <c r="N180" s="326">
        <f>Q180/0.8235</f>
        <v>28.670086417753513</v>
      </c>
      <c r="O180" s="348">
        <f>R180/0.8235</f>
        <v>35.837608022191887</v>
      </c>
      <c r="P180" s="309">
        <f>J180*(F180/100)*1000</f>
        <v>28.331779398024018</v>
      </c>
      <c r="Q180" s="326">
        <f>K180*(F180/100)*1000</f>
        <v>23.609816165020018</v>
      </c>
      <c r="R180" s="326">
        <f>L180*(F180/100)*1000</f>
        <v>29.512270206275019</v>
      </c>
      <c r="S180" s="293" t="s">
        <v>37</v>
      </c>
      <c r="T180" s="299" t="s">
        <v>37</v>
      </c>
      <c r="U180" s="312" t="s">
        <v>582</v>
      </c>
      <c r="V180" s="301" t="s">
        <v>712</v>
      </c>
      <c r="W180" s="313">
        <f t="shared" si="39"/>
        <v>28.331779398024018</v>
      </c>
    </row>
    <row r="181" spans="1:24" x14ac:dyDescent="0.2">
      <c r="A181" s="252">
        <v>21.8</v>
      </c>
      <c r="B181" s="253">
        <f t="shared" si="35"/>
        <v>294.95</v>
      </c>
      <c r="C181" s="254">
        <f t="shared" si="36"/>
        <v>9.3457148364129523</v>
      </c>
      <c r="D181" s="426">
        <v>7.8</v>
      </c>
      <c r="E181" s="256">
        <f t="shared" si="37"/>
        <v>2.7675556802365279E-2</v>
      </c>
      <c r="F181" s="257">
        <f t="shared" si="44"/>
        <v>2.7675556802365278</v>
      </c>
      <c r="G181" s="408" t="s">
        <v>148</v>
      </c>
      <c r="H181" s="212" t="s">
        <v>876</v>
      </c>
      <c r="I181" s="212" t="s">
        <v>54</v>
      </c>
      <c r="J181" s="259" t="s">
        <v>37</v>
      </c>
      <c r="K181" s="260"/>
      <c r="L181" s="260"/>
      <c r="M181" s="310"/>
      <c r="N181" s="317"/>
      <c r="O181" s="324"/>
      <c r="P181" s="261"/>
      <c r="Q181" s="317"/>
      <c r="R181" s="317"/>
      <c r="S181" s="264">
        <f t="shared" ref="S181:S182" si="50">T181*17/14</f>
        <v>36.428571428571431</v>
      </c>
      <c r="T181" s="265">
        <v>30</v>
      </c>
      <c r="U181" s="303" t="s">
        <v>582</v>
      </c>
      <c r="V181" s="267" t="s">
        <v>706</v>
      </c>
      <c r="W181" s="311">
        <f t="shared" si="39"/>
        <v>30</v>
      </c>
      <c r="X181" t="s">
        <v>845</v>
      </c>
    </row>
    <row r="182" spans="1:24" x14ac:dyDescent="0.2">
      <c r="A182" s="286">
        <v>21.8</v>
      </c>
      <c r="B182" s="287">
        <f t="shared" si="35"/>
        <v>294.95</v>
      </c>
      <c r="C182" s="288">
        <f t="shared" si="36"/>
        <v>9.3457148364129523</v>
      </c>
      <c r="D182" s="427">
        <v>7.8</v>
      </c>
      <c r="E182" s="290">
        <f t="shared" si="37"/>
        <v>2.7675556802365279E-2</v>
      </c>
      <c r="F182" s="291">
        <f t="shared" si="44"/>
        <v>2.7675556802365278</v>
      </c>
      <c r="G182" s="411" t="s">
        <v>153</v>
      </c>
      <c r="H182" s="226" t="s">
        <v>876</v>
      </c>
      <c r="I182" s="226" t="s">
        <v>54</v>
      </c>
      <c r="J182" s="293" t="s">
        <v>37</v>
      </c>
      <c r="K182" s="294"/>
      <c r="L182" s="294"/>
      <c r="M182" s="309"/>
      <c r="N182" s="328"/>
      <c r="O182" s="327"/>
      <c r="P182" s="295"/>
      <c r="Q182" s="328"/>
      <c r="R182" s="328"/>
      <c r="S182" s="298">
        <f t="shared" si="50"/>
        <v>97.142857142857139</v>
      </c>
      <c r="T182" s="299">
        <v>80</v>
      </c>
      <c r="U182" s="312" t="s">
        <v>582</v>
      </c>
      <c r="V182" s="301" t="s">
        <v>706</v>
      </c>
      <c r="W182" s="313">
        <f t="shared" si="39"/>
        <v>80</v>
      </c>
    </row>
    <row r="183" spans="1:24" x14ac:dyDescent="0.2">
      <c r="A183" s="252">
        <v>20</v>
      </c>
      <c r="B183" s="253">
        <f t="shared" si="35"/>
        <v>293.14999999999998</v>
      </c>
      <c r="C183" s="254">
        <f t="shared" si="36"/>
        <v>9.4025456830973919</v>
      </c>
      <c r="D183" s="426">
        <v>7</v>
      </c>
      <c r="E183" s="256">
        <f t="shared" si="37"/>
        <v>3.9422018446717009E-3</v>
      </c>
      <c r="F183" s="257">
        <f t="shared" si="44"/>
        <v>0.39422018446717011</v>
      </c>
      <c r="G183" s="408"/>
      <c r="H183" s="212" t="s">
        <v>877</v>
      </c>
      <c r="I183" s="212"/>
      <c r="J183" s="259"/>
      <c r="K183" s="260"/>
      <c r="L183" s="260"/>
      <c r="M183" s="310"/>
      <c r="N183" s="317"/>
      <c r="O183" s="324"/>
      <c r="P183" s="261"/>
      <c r="Q183" s="317"/>
      <c r="R183" s="317"/>
      <c r="S183" s="264"/>
      <c r="T183" s="265"/>
      <c r="U183" s="303"/>
      <c r="V183" s="267"/>
      <c r="W183" s="311"/>
    </row>
    <row r="184" spans="1:24" x14ac:dyDescent="0.2">
      <c r="A184" s="286">
        <v>20</v>
      </c>
      <c r="B184" s="287">
        <f t="shared" si="35"/>
        <v>293.14999999999998</v>
      </c>
      <c r="C184" s="288">
        <f t="shared" si="36"/>
        <v>9.4025456830973919</v>
      </c>
      <c r="D184" s="427">
        <v>8</v>
      </c>
      <c r="E184" s="290">
        <f t="shared" si="37"/>
        <v>3.8071257222648168E-2</v>
      </c>
      <c r="F184" s="291">
        <f t="shared" si="44"/>
        <v>3.8071257222648169</v>
      </c>
      <c r="G184" s="411"/>
      <c r="H184" s="226" t="s">
        <v>878</v>
      </c>
      <c r="I184" s="226"/>
      <c r="J184" s="293"/>
      <c r="K184" s="294"/>
      <c r="L184" s="294"/>
      <c r="M184" s="309"/>
      <c r="N184" s="328"/>
      <c r="O184" s="327"/>
      <c r="P184" s="295"/>
      <c r="Q184" s="328"/>
      <c r="R184" s="328"/>
      <c r="S184" s="298"/>
      <c r="T184" s="299"/>
      <c r="U184" s="312"/>
      <c r="V184" s="301"/>
      <c r="W184" s="313"/>
    </row>
  </sheetData>
  <mergeCells count="11">
    <mergeCell ref="A18:B18"/>
    <mergeCell ref="J18:L18"/>
    <mergeCell ref="M18:R18"/>
    <mergeCell ref="S18:T18"/>
    <mergeCell ref="V18:W18"/>
    <mergeCell ref="J10:W14"/>
    <mergeCell ref="S16:W16"/>
    <mergeCell ref="J17:L17"/>
    <mergeCell ref="M17:R17"/>
    <mergeCell ref="S17:T17"/>
    <mergeCell ref="V17:W17"/>
  </mergeCells>
  <hyperlinks>
    <hyperlink ref="G44" location="'FW nonmetal nonplant_WS'!D112" display="'FW nonmetal nonplant_WS'!D112" xr:uid="{D4D1D808-2DA2-49F6-AE60-E6D8792CB252}"/>
    <hyperlink ref="G45" location="'FW nonmetal nonplant_WS'!D115" display="'FW nonmetal nonplant_WS'!D115" xr:uid="{DABD8BDE-E148-4677-B02F-E130A4283FB1}"/>
    <hyperlink ref="G47" location="'FW nonmetal nonplant_WS'!D118" display="'FW nonmetal nonplant_WS'!D118" xr:uid="{9830B6D8-9146-47EC-AEE2-989BFDDD119E}"/>
    <hyperlink ref="G48" location="'FW nonmetal nonplant_WS'!D130" display="'FW nonmetal nonplant_WS'!D130" xr:uid="{A78B429F-E501-48D5-A121-F64F7ADB22C9}"/>
    <hyperlink ref="G49" location="'FW nonmetal nonplant_WS'!D133" display="'FW nonmetal nonplant_WS'!D133" xr:uid="{C3175EC2-E5BF-4CB2-AFB2-2D88F2866C29}"/>
    <hyperlink ref="G50" location="'FW nonmetal nonplant_WS'!D136" display="'FW nonmetal nonplant_WS'!D136" xr:uid="{D297A31A-1824-45E6-B710-BBA49CA74AB5}"/>
    <hyperlink ref="G46" location="'FW nonmetal nonplant_WS'!D139" display="'FW nonmetal nonplant_WS'!D139" xr:uid="{0C32BC61-DAA2-49E3-829E-03590C47A921}"/>
    <hyperlink ref="G137" location="'FW nonmetal nonplant_WS'!D115" display="'FW nonmetal nonplant_WS'!D115" xr:uid="{0914B820-8B67-4613-AB1A-BD040AE95BB4}"/>
    <hyperlink ref="G140" location="'FW nonmetal nonplant_WS'!D118" display="'FW nonmetal nonplant_WS'!D118" xr:uid="{0EA44C97-1A07-4DF6-8DB3-8BA3F3A7C531}"/>
    <hyperlink ref="G142" location="'FW nonmetal nonplant_WS'!D121" display="'FW nonmetal nonplant_WS'!D121" xr:uid="{252708D6-66AA-4C53-B9DE-90140D4E238B}"/>
    <hyperlink ref="G138" location="'FW nonmetal nonplant_WS'!D124" display="'FW nonmetal nonplant_WS'!D124" xr:uid="{509D2946-E6A8-43E2-AB5A-67DBC49DA891}"/>
    <hyperlink ref="G141" location="'FW nonmetal nonplant_WS'!D127" display="'FW nonmetal nonplant_WS'!D127" xr:uid="{6654393D-D250-4E2F-BE80-67A16C0831F8}"/>
    <hyperlink ref="G139" location="'FW nonmetal nonplant_WS'!D130" display="'FW nonmetal nonplant_WS'!D130" xr:uid="{0F007461-F8CA-40CF-9AA4-B9A53D370623}"/>
  </hyperlinks>
  <pageMargins left="0.7" right="0.7" top="0.75" bottom="0.75" header="0.3" footer="0.3"/>
  <pageSetup paperSize="9"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80C8-7496-4CBB-B419-2AAF07B342EC}">
  <dimension ref="A1:F128"/>
  <sheetViews>
    <sheetView workbookViewId="0"/>
  </sheetViews>
  <sheetFormatPr baseColWidth="10" defaultColWidth="8.83203125" defaultRowHeight="15" x14ac:dyDescent="0.2"/>
  <sheetData>
    <row r="1" spans="1:6" x14ac:dyDescent="0.2">
      <c r="A1" t="s">
        <v>879</v>
      </c>
      <c r="B1" t="s">
        <v>880</v>
      </c>
      <c r="E1" t="s">
        <v>881</v>
      </c>
    </row>
    <row r="2" spans="1:6" x14ac:dyDescent="0.2">
      <c r="B2" t="s">
        <v>882</v>
      </c>
      <c r="C2" t="s">
        <v>883</v>
      </c>
      <c r="E2" t="s">
        <v>882</v>
      </c>
      <c r="F2" t="s">
        <v>883</v>
      </c>
    </row>
    <row r="3" spans="1:6" x14ac:dyDescent="0.2">
      <c r="B3">
        <v>7.69</v>
      </c>
      <c r="C3">
        <v>26.5</v>
      </c>
      <c r="E3">
        <v>7.92</v>
      </c>
      <c r="F3">
        <v>25.2</v>
      </c>
    </row>
    <row r="4" spans="1:6" x14ac:dyDescent="0.2">
      <c r="B4">
        <v>7.62</v>
      </c>
      <c r="C4">
        <v>26.5</v>
      </c>
      <c r="E4">
        <v>7.93</v>
      </c>
      <c r="F4">
        <v>25.2</v>
      </c>
    </row>
    <row r="5" spans="1:6" x14ac:dyDescent="0.2">
      <c r="B5">
        <v>7.52</v>
      </c>
      <c r="C5">
        <v>26.5</v>
      </c>
      <c r="E5">
        <v>7.93</v>
      </c>
      <c r="F5">
        <v>25.6</v>
      </c>
    </row>
    <row r="6" spans="1:6" x14ac:dyDescent="0.2">
      <c r="B6">
        <v>7.48</v>
      </c>
      <c r="C6">
        <v>26.5</v>
      </c>
      <c r="E6">
        <v>7.93</v>
      </c>
      <c r="F6">
        <v>25.6</v>
      </c>
    </row>
    <row r="7" spans="1:6" x14ac:dyDescent="0.2">
      <c r="B7">
        <v>7.54</v>
      </c>
      <c r="C7">
        <v>26.5</v>
      </c>
      <c r="E7">
        <v>7.97</v>
      </c>
      <c r="F7">
        <v>25.6</v>
      </c>
    </row>
    <row r="8" spans="1:6" x14ac:dyDescent="0.2">
      <c r="B8">
        <v>7.54</v>
      </c>
      <c r="C8">
        <v>26.5</v>
      </c>
      <c r="E8">
        <v>7.99</v>
      </c>
      <c r="F8">
        <v>25.3</v>
      </c>
    </row>
    <row r="9" spans="1:6" x14ac:dyDescent="0.2">
      <c r="B9">
        <v>7.55</v>
      </c>
      <c r="C9">
        <v>26.5</v>
      </c>
      <c r="E9">
        <v>8.01</v>
      </c>
      <c r="F9">
        <v>25.4</v>
      </c>
    </row>
    <row r="10" spans="1:6" x14ac:dyDescent="0.2">
      <c r="B10">
        <v>7.63</v>
      </c>
      <c r="C10">
        <v>26.5</v>
      </c>
      <c r="E10">
        <v>8.0299999999999994</v>
      </c>
      <c r="F10">
        <v>25.4</v>
      </c>
    </row>
    <row r="11" spans="1:6" x14ac:dyDescent="0.2">
      <c r="B11">
        <v>7.67</v>
      </c>
      <c r="C11">
        <v>26.5</v>
      </c>
      <c r="E11">
        <v>8.09</v>
      </c>
      <c r="F11">
        <v>25.5</v>
      </c>
    </row>
    <row r="12" spans="1:6" x14ac:dyDescent="0.2">
      <c r="B12">
        <v>7.66</v>
      </c>
      <c r="C12">
        <v>26.5</v>
      </c>
      <c r="E12">
        <v>8.11</v>
      </c>
      <c r="F12">
        <v>25.4</v>
      </c>
    </row>
    <row r="13" spans="1:6" x14ac:dyDescent="0.2">
      <c r="B13">
        <v>7.72</v>
      </c>
      <c r="C13">
        <v>26.5</v>
      </c>
      <c r="E13">
        <v>8.1300000000000008</v>
      </c>
      <c r="F13">
        <v>25.3</v>
      </c>
    </row>
    <row r="14" spans="1:6" x14ac:dyDescent="0.2">
      <c r="B14">
        <v>7.6</v>
      </c>
      <c r="C14">
        <v>26.9</v>
      </c>
      <c r="E14">
        <v>8.08</v>
      </c>
      <c r="F14">
        <v>25.4</v>
      </c>
    </row>
    <row r="15" spans="1:6" x14ac:dyDescent="0.2">
      <c r="B15">
        <v>7.81</v>
      </c>
      <c r="C15">
        <v>26</v>
      </c>
      <c r="E15">
        <v>7.93</v>
      </c>
      <c r="F15">
        <v>23.9</v>
      </c>
    </row>
    <row r="16" spans="1:6" x14ac:dyDescent="0.2">
      <c r="B16">
        <v>7.79</v>
      </c>
      <c r="C16">
        <v>26</v>
      </c>
      <c r="E16">
        <v>8.0500000000000007</v>
      </c>
      <c r="F16">
        <v>23.8</v>
      </c>
    </row>
    <row r="17" spans="2:6" x14ac:dyDescent="0.2">
      <c r="B17">
        <v>7.76</v>
      </c>
      <c r="C17">
        <v>26</v>
      </c>
      <c r="E17">
        <v>7.99</v>
      </c>
      <c r="F17">
        <v>23.9</v>
      </c>
    </row>
    <row r="18" spans="2:6" x14ac:dyDescent="0.2">
      <c r="B18">
        <v>7.77</v>
      </c>
      <c r="C18">
        <v>26</v>
      </c>
      <c r="E18">
        <v>8.01</v>
      </c>
      <c r="F18">
        <v>23.9</v>
      </c>
    </row>
    <row r="19" spans="2:6" x14ac:dyDescent="0.2">
      <c r="B19">
        <v>7.81</v>
      </c>
      <c r="C19">
        <v>26</v>
      </c>
      <c r="E19">
        <v>8.0299999999999994</v>
      </c>
      <c r="F19">
        <v>23.8</v>
      </c>
    </row>
    <row r="20" spans="2:6" x14ac:dyDescent="0.2">
      <c r="B20">
        <v>7.78</v>
      </c>
      <c r="C20">
        <v>26</v>
      </c>
      <c r="E20">
        <v>8.1300000000000008</v>
      </c>
      <c r="F20">
        <v>23.2</v>
      </c>
    </row>
    <row r="21" spans="2:6" x14ac:dyDescent="0.2">
      <c r="B21">
        <v>7.85</v>
      </c>
      <c r="C21">
        <v>26</v>
      </c>
      <c r="E21">
        <v>8.09</v>
      </c>
      <c r="F21">
        <v>23.8</v>
      </c>
    </row>
    <row r="22" spans="2:6" x14ac:dyDescent="0.2">
      <c r="B22">
        <v>7.89</v>
      </c>
      <c r="C22">
        <v>26</v>
      </c>
      <c r="E22">
        <v>8.06</v>
      </c>
      <c r="F22">
        <v>23.9</v>
      </c>
    </row>
    <row r="23" spans="2:6" x14ac:dyDescent="0.2">
      <c r="B23">
        <v>7.95</v>
      </c>
      <c r="C23">
        <v>26</v>
      </c>
      <c r="E23">
        <v>8.17</v>
      </c>
      <c r="F23">
        <v>24.2</v>
      </c>
    </row>
    <row r="24" spans="2:6" x14ac:dyDescent="0.2">
      <c r="B24">
        <v>7.87</v>
      </c>
      <c r="C24">
        <v>26</v>
      </c>
      <c r="E24">
        <v>8.14</v>
      </c>
      <c r="F24">
        <v>23.8</v>
      </c>
    </row>
    <row r="25" spans="2:6" x14ac:dyDescent="0.2">
      <c r="B25">
        <v>7.88</v>
      </c>
      <c r="C25">
        <v>26</v>
      </c>
      <c r="E25">
        <v>8.2200000000000006</v>
      </c>
      <c r="F25">
        <v>23.6</v>
      </c>
    </row>
    <row r="26" spans="2:6" x14ac:dyDescent="0.2">
      <c r="B26">
        <v>7.85</v>
      </c>
      <c r="C26">
        <v>26</v>
      </c>
      <c r="E26">
        <v>8.2200000000000006</v>
      </c>
      <c r="F26">
        <v>23.6</v>
      </c>
    </row>
    <row r="27" spans="2:6" x14ac:dyDescent="0.2">
      <c r="B27">
        <v>7.74</v>
      </c>
      <c r="C27">
        <v>23.6</v>
      </c>
      <c r="E27">
        <v>7.72</v>
      </c>
      <c r="F27">
        <v>25.6</v>
      </c>
    </row>
    <row r="28" spans="2:6" x14ac:dyDescent="0.2">
      <c r="B28">
        <v>7.7</v>
      </c>
      <c r="C28">
        <v>23.6</v>
      </c>
      <c r="E28">
        <v>7.76</v>
      </c>
      <c r="F28">
        <v>25.6</v>
      </c>
    </row>
    <row r="29" spans="2:6" x14ac:dyDescent="0.2">
      <c r="B29">
        <v>7.68</v>
      </c>
      <c r="C29">
        <v>24</v>
      </c>
      <c r="E29">
        <v>7.77</v>
      </c>
      <c r="F29">
        <v>25.5</v>
      </c>
    </row>
    <row r="30" spans="2:6" x14ac:dyDescent="0.2">
      <c r="B30">
        <v>7.7</v>
      </c>
      <c r="C30">
        <v>23.8</v>
      </c>
      <c r="E30">
        <v>7.78</v>
      </c>
      <c r="F30">
        <v>25.4</v>
      </c>
    </row>
    <row r="31" spans="2:6" x14ac:dyDescent="0.2">
      <c r="B31">
        <v>7.69</v>
      </c>
      <c r="C31">
        <v>23.6</v>
      </c>
      <c r="E31">
        <v>7.78</v>
      </c>
      <c r="F31">
        <v>25.5</v>
      </c>
    </row>
    <row r="32" spans="2:6" x14ac:dyDescent="0.2">
      <c r="B32">
        <v>7.73</v>
      </c>
      <c r="C32">
        <v>23.5</v>
      </c>
      <c r="E32">
        <v>7.75</v>
      </c>
      <c r="F32">
        <v>25.4</v>
      </c>
    </row>
    <row r="33" spans="2:6" x14ac:dyDescent="0.2">
      <c r="B33">
        <v>7.78</v>
      </c>
      <c r="C33">
        <v>23.6</v>
      </c>
      <c r="E33">
        <v>7.88</v>
      </c>
      <c r="F33">
        <v>25.6</v>
      </c>
    </row>
    <row r="34" spans="2:6" x14ac:dyDescent="0.2">
      <c r="B34">
        <v>7.8</v>
      </c>
      <c r="C34">
        <v>23.6</v>
      </c>
      <c r="E34">
        <v>7.91</v>
      </c>
      <c r="F34">
        <v>25.5</v>
      </c>
    </row>
    <row r="35" spans="2:6" x14ac:dyDescent="0.2">
      <c r="B35">
        <v>7.88</v>
      </c>
      <c r="C35">
        <v>23.7</v>
      </c>
      <c r="E35">
        <v>8.01</v>
      </c>
      <c r="F35">
        <v>25.5</v>
      </c>
    </row>
    <row r="36" spans="2:6" x14ac:dyDescent="0.2">
      <c r="B36">
        <v>7.81</v>
      </c>
      <c r="C36">
        <v>23.5</v>
      </c>
      <c r="E36">
        <v>8.0299999999999994</v>
      </c>
      <c r="F36">
        <v>25.6</v>
      </c>
    </row>
    <row r="37" spans="2:6" x14ac:dyDescent="0.2">
      <c r="B37">
        <v>7.84</v>
      </c>
      <c r="C37">
        <v>23.6</v>
      </c>
      <c r="E37">
        <v>7.74</v>
      </c>
      <c r="F37">
        <v>24.4</v>
      </c>
    </row>
    <row r="38" spans="2:6" x14ac:dyDescent="0.2">
      <c r="B38">
        <v>7.86</v>
      </c>
      <c r="C38">
        <v>23.6</v>
      </c>
      <c r="E38">
        <v>7.7</v>
      </c>
      <c r="F38">
        <v>24.5</v>
      </c>
    </row>
    <row r="39" spans="2:6" x14ac:dyDescent="0.2">
      <c r="B39">
        <v>7.63</v>
      </c>
      <c r="C39">
        <v>27.5</v>
      </c>
      <c r="E39">
        <v>7.85</v>
      </c>
      <c r="F39">
        <v>24.4</v>
      </c>
    </row>
    <row r="40" spans="2:6" x14ac:dyDescent="0.2">
      <c r="B40">
        <v>7.59</v>
      </c>
      <c r="C40">
        <v>27.5</v>
      </c>
      <c r="E40">
        <v>7.77</v>
      </c>
      <c r="F40">
        <v>24.4</v>
      </c>
    </row>
    <row r="41" spans="2:6" x14ac:dyDescent="0.2">
      <c r="B41">
        <v>7.69</v>
      </c>
      <c r="C41">
        <v>27.5</v>
      </c>
      <c r="E41">
        <v>7.74</v>
      </c>
      <c r="F41">
        <v>24.6</v>
      </c>
    </row>
    <row r="42" spans="2:6" x14ac:dyDescent="0.2">
      <c r="B42">
        <v>7.65</v>
      </c>
      <c r="C42">
        <v>27.5</v>
      </c>
      <c r="E42">
        <v>7.72</v>
      </c>
      <c r="F42">
        <v>24.5</v>
      </c>
    </row>
    <row r="43" spans="2:6" x14ac:dyDescent="0.2">
      <c r="B43">
        <v>7.63</v>
      </c>
      <c r="C43">
        <v>27.5</v>
      </c>
      <c r="E43">
        <v>7.9</v>
      </c>
      <c r="F43">
        <v>24.8</v>
      </c>
    </row>
    <row r="44" spans="2:6" x14ac:dyDescent="0.2">
      <c r="B44">
        <v>7.73</v>
      </c>
      <c r="C44">
        <v>27.5</v>
      </c>
      <c r="E44">
        <v>7.97</v>
      </c>
      <c r="F44">
        <v>24.5</v>
      </c>
    </row>
    <row r="45" spans="2:6" x14ac:dyDescent="0.2">
      <c r="B45">
        <v>7.71</v>
      </c>
      <c r="C45">
        <v>27.5</v>
      </c>
      <c r="E45">
        <v>7.98</v>
      </c>
      <c r="F45">
        <v>24.6</v>
      </c>
    </row>
    <row r="46" spans="2:6" x14ac:dyDescent="0.2">
      <c r="B46">
        <v>7.79</v>
      </c>
      <c r="C46">
        <v>27.5</v>
      </c>
      <c r="E46">
        <v>7.99</v>
      </c>
      <c r="F46">
        <v>24.4</v>
      </c>
    </row>
    <row r="47" spans="2:6" x14ac:dyDescent="0.2">
      <c r="B47">
        <v>7.76</v>
      </c>
      <c r="C47">
        <v>27.5</v>
      </c>
      <c r="E47">
        <v>7.68</v>
      </c>
      <c r="F47">
        <v>25.8</v>
      </c>
    </row>
    <row r="48" spans="2:6" x14ac:dyDescent="0.2">
      <c r="B48">
        <v>7.76</v>
      </c>
      <c r="C48">
        <v>27.5</v>
      </c>
      <c r="E48">
        <v>7.66</v>
      </c>
      <c r="F48">
        <v>25.5</v>
      </c>
    </row>
    <row r="49" spans="2:6" x14ac:dyDescent="0.2">
      <c r="B49">
        <v>7.81</v>
      </c>
      <c r="C49">
        <v>27.5</v>
      </c>
      <c r="E49">
        <v>7.8</v>
      </c>
      <c r="F49">
        <v>26.6</v>
      </c>
    </row>
    <row r="50" spans="2:6" x14ac:dyDescent="0.2">
      <c r="B50">
        <v>7.77</v>
      </c>
      <c r="C50">
        <v>27.5</v>
      </c>
      <c r="E50">
        <v>7.62</v>
      </c>
      <c r="F50">
        <v>26.3</v>
      </c>
    </row>
    <row r="51" spans="2:6" x14ac:dyDescent="0.2">
      <c r="B51">
        <v>7.61</v>
      </c>
      <c r="C51">
        <v>28</v>
      </c>
      <c r="E51">
        <v>7.64</v>
      </c>
      <c r="F51">
        <v>26.1</v>
      </c>
    </row>
    <row r="52" spans="2:6" x14ac:dyDescent="0.2">
      <c r="B52">
        <v>7.6</v>
      </c>
      <c r="C52">
        <v>28</v>
      </c>
      <c r="E52">
        <v>7.63</v>
      </c>
      <c r="F52">
        <v>26.3</v>
      </c>
    </row>
    <row r="53" spans="2:6" x14ac:dyDescent="0.2">
      <c r="B53">
        <v>7.65</v>
      </c>
      <c r="C53">
        <v>28</v>
      </c>
      <c r="E53">
        <v>7.91</v>
      </c>
      <c r="F53">
        <v>25.7</v>
      </c>
    </row>
    <row r="54" spans="2:6" x14ac:dyDescent="0.2">
      <c r="B54">
        <v>7.62</v>
      </c>
      <c r="C54">
        <v>28</v>
      </c>
      <c r="E54">
        <v>7.93</v>
      </c>
      <c r="F54">
        <v>26.3</v>
      </c>
    </row>
    <row r="55" spans="2:6" x14ac:dyDescent="0.2">
      <c r="B55">
        <v>7.64</v>
      </c>
      <c r="C55">
        <v>28</v>
      </c>
      <c r="E55">
        <v>8.01</v>
      </c>
      <c r="F55">
        <v>25.7</v>
      </c>
    </row>
    <row r="56" spans="2:6" x14ac:dyDescent="0.2">
      <c r="B56">
        <v>7.64</v>
      </c>
      <c r="C56">
        <v>28</v>
      </c>
      <c r="E56">
        <v>8</v>
      </c>
      <c r="F56">
        <v>25.9</v>
      </c>
    </row>
    <row r="57" spans="2:6" x14ac:dyDescent="0.2">
      <c r="B57">
        <v>7.67</v>
      </c>
      <c r="C57">
        <v>28</v>
      </c>
      <c r="E57">
        <v>7.79</v>
      </c>
      <c r="F57">
        <v>26.4</v>
      </c>
    </row>
    <row r="58" spans="2:6" x14ac:dyDescent="0.2">
      <c r="B58">
        <v>7.67</v>
      </c>
      <c r="C58">
        <v>28</v>
      </c>
      <c r="E58">
        <v>7.84</v>
      </c>
      <c r="F58">
        <v>26.1</v>
      </c>
    </row>
    <row r="59" spans="2:6" x14ac:dyDescent="0.2">
      <c r="B59">
        <v>7.8</v>
      </c>
      <c r="C59">
        <v>28</v>
      </c>
      <c r="E59">
        <v>7.84</v>
      </c>
      <c r="F59">
        <v>26.3</v>
      </c>
    </row>
    <row r="60" spans="2:6" x14ac:dyDescent="0.2">
      <c r="B60">
        <v>7.73</v>
      </c>
      <c r="C60">
        <v>28</v>
      </c>
      <c r="E60">
        <v>7.74</v>
      </c>
      <c r="F60">
        <v>25.5</v>
      </c>
    </row>
    <row r="61" spans="2:6" x14ac:dyDescent="0.2">
      <c r="B61">
        <v>7.81</v>
      </c>
      <c r="C61">
        <v>28</v>
      </c>
      <c r="E61">
        <v>7.75</v>
      </c>
      <c r="F61">
        <v>26.2</v>
      </c>
    </row>
    <row r="62" spans="2:6" x14ac:dyDescent="0.2">
      <c r="B62">
        <v>7.77</v>
      </c>
      <c r="C62">
        <v>28</v>
      </c>
      <c r="E62">
        <v>7.8</v>
      </c>
      <c r="F62">
        <v>26.3</v>
      </c>
    </row>
    <row r="63" spans="2:6" x14ac:dyDescent="0.2">
      <c r="B63">
        <v>7.74</v>
      </c>
      <c r="C63">
        <v>28</v>
      </c>
      <c r="E63">
        <v>7.98</v>
      </c>
      <c r="F63">
        <v>26.3</v>
      </c>
    </row>
    <row r="64" spans="2:6" x14ac:dyDescent="0.2">
      <c r="B64">
        <v>7.76</v>
      </c>
      <c r="C64">
        <v>28</v>
      </c>
      <c r="E64">
        <v>7.99</v>
      </c>
      <c r="F64">
        <v>26</v>
      </c>
    </row>
    <row r="65" spans="2:6" x14ac:dyDescent="0.2">
      <c r="B65">
        <v>7.77</v>
      </c>
      <c r="C65">
        <v>28</v>
      </c>
      <c r="E65">
        <v>8.08</v>
      </c>
      <c r="F65">
        <v>25.8</v>
      </c>
    </row>
    <row r="66" spans="2:6" x14ac:dyDescent="0.2">
      <c r="B66">
        <v>7.74</v>
      </c>
      <c r="C66">
        <v>28</v>
      </c>
      <c r="E66">
        <v>8.06</v>
      </c>
      <c r="F66">
        <v>25.9</v>
      </c>
    </row>
    <row r="67" spans="2:6" x14ac:dyDescent="0.2">
      <c r="B67">
        <v>7.79</v>
      </c>
      <c r="C67">
        <v>28</v>
      </c>
      <c r="E67">
        <v>7.76</v>
      </c>
      <c r="F67">
        <v>26.6</v>
      </c>
    </row>
    <row r="68" spans="2:6" x14ac:dyDescent="0.2">
      <c r="B68">
        <v>7.74</v>
      </c>
      <c r="C68">
        <v>28</v>
      </c>
      <c r="E68">
        <v>7.77</v>
      </c>
      <c r="F68">
        <v>26.1</v>
      </c>
    </row>
    <row r="69" spans="2:6" x14ac:dyDescent="0.2">
      <c r="B69">
        <v>7.82</v>
      </c>
      <c r="C69">
        <v>28</v>
      </c>
      <c r="E69">
        <v>7.74</v>
      </c>
      <c r="F69">
        <v>26.4</v>
      </c>
    </row>
    <row r="70" spans="2:6" x14ac:dyDescent="0.2">
      <c r="B70">
        <v>7.81</v>
      </c>
      <c r="C70">
        <v>28</v>
      </c>
      <c r="E70">
        <v>7.71</v>
      </c>
      <c r="F70">
        <v>25.9</v>
      </c>
    </row>
    <row r="71" spans="2:6" x14ac:dyDescent="0.2">
      <c r="B71">
        <v>7.82</v>
      </c>
      <c r="C71">
        <v>28</v>
      </c>
      <c r="E71">
        <v>7.71</v>
      </c>
      <c r="F71">
        <v>26.4</v>
      </c>
    </row>
    <row r="72" spans="2:6" x14ac:dyDescent="0.2">
      <c r="B72">
        <v>7.83</v>
      </c>
      <c r="C72">
        <v>28</v>
      </c>
      <c r="E72">
        <v>7.8</v>
      </c>
      <c r="F72">
        <v>26.1</v>
      </c>
    </row>
    <row r="73" spans="2:6" x14ac:dyDescent="0.2">
      <c r="B73">
        <v>7.87</v>
      </c>
      <c r="C73">
        <v>28</v>
      </c>
      <c r="E73">
        <v>7.92</v>
      </c>
      <c r="F73">
        <v>26.7</v>
      </c>
    </row>
    <row r="74" spans="2:6" x14ac:dyDescent="0.2">
      <c r="B74">
        <v>7.87</v>
      </c>
      <c r="C74">
        <v>28</v>
      </c>
      <c r="E74">
        <v>7.83</v>
      </c>
      <c r="F74">
        <v>26.5</v>
      </c>
    </row>
    <row r="75" spans="2:6" x14ac:dyDescent="0.2">
      <c r="B75">
        <v>7.68</v>
      </c>
      <c r="C75">
        <v>27.5</v>
      </c>
      <c r="E75">
        <v>8.17</v>
      </c>
      <c r="F75">
        <v>25.9</v>
      </c>
    </row>
    <row r="76" spans="2:6" x14ac:dyDescent="0.2">
      <c r="B76">
        <v>7.71</v>
      </c>
      <c r="C76">
        <v>27.5</v>
      </c>
      <c r="E76">
        <v>8.14</v>
      </c>
      <c r="F76">
        <v>26.3</v>
      </c>
    </row>
    <row r="77" spans="2:6" x14ac:dyDescent="0.2">
      <c r="B77">
        <v>7.72</v>
      </c>
      <c r="C77">
        <v>27.5</v>
      </c>
      <c r="E77">
        <v>7.79</v>
      </c>
      <c r="F77">
        <v>23.2</v>
      </c>
    </row>
    <row r="78" spans="2:6" x14ac:dyDescent="0.2">
      <c r="B78">
        <v>7.67</v>
      </c>
      <c r="C78">
        <v>27.5</v>
      </c>
      <c r="E78">
        <v>7.79</v>
      </c>
      <c r="F78">
        <v>23.1</v>
      </c>
    </row>
    <row r="79" spans="2:6" x14ac:dyDescent="0.2">
      <c r="B79">
        <v>7.79</v>
      </c>
      <c r="C79">
        <v>27.5</v>
      </c>
      <c r="E79">
        <v>7.75</v>
      </c>
      <c r="F79">
        <v>23.2</v>
      </c>
    </row>
    <row r="80" spans="2:6" x14ac:dyDescent="0.2">
      <c r="B80">
        <v>7.67</v>
      </c>
      <c r="C80">
        <v>27.5</v>
      </c>
      <c r="E80">
        <v>7.78</v>
      </c>
      <c r="F80">
        <v>22.7</v>
      </c>
    </row>
    <row r="81" spans="2:6" x14ac:dyDescent="0.2">
      <c r="B81">
        <v>7.75</v>
      </c>
      <c r="C81">
        <v>27.5</v>
      </c>
      <c r="E81">
        <v>7.77</v>
      </c>
      <c r="F81">
        <v>23.2</v>
      </c>
    </row>
    <row r="82" spans="2:6" x14ac:dyDescent="0.2">
      <c r="B82">
        <v>7.75</v>
      </c>
      <c r="C82">
        <v>27.5</v>
      </c>
      <c r="E82">
        <v>7.79</v>
      </c>
      <c r="F82">
        <v>23.7</v>
      </c>
    </row>
    <row r="83" spans="2:6" x14ac:dyDescent="0.2">
      <c r="B83">
        <v>7.84</v>
      </c>
      <c r="C83">
        <v>27.5</v>
      </c>
      <c r="E83">
        <v>7.89</v>
      </c>
      <c r="F83">
        <v>23.4</v>
      </c>
    </row>
    <row r="84" spans="2:6" x14ac:dyDescent="0.2">
      <c r="B84">
        <v>7.8</v>
      </c>
      <c r="C84">
        <v>27.5</v>
      </c>
      <c r="E84">
        <v>7.94</v>
      </c>
      <c r="F84">
        <v>23.3</v>
      </c>
    </row>
    <row r="85" spans="2:6" x14ac:dyDescent="0.2">
      <c r="B85">
        <v>7.89</v>
      </c>
      <c r="C85">
        <v>27.5</v>
      </c>
      <c r="E85">
        <v>8</v>
      </c>
      <c r="F85">
        <v>23.3</v>
      </c>
    </row>
    <row r="86" spans="2:6" x14ac:dyDescent="0.2">
      <c r="B86">
        <v>7.83</v>
      </c>
      <c r="C86">
        <v>27.5</v>
      </c>
      <c r="E86">
        <v>8.07</v>
      </c>
      <c r="F86">
        <v>22.8</v>
      </c>
    </row>
    <row r="87" spans="2:6" x14ac:dyDescent="0.2">
      <c r="B87">
        <v>7.72</v>
      </c>
      <c r="C87">
        <v>27</v>
      </c>
      <c r="E87">
        <v>7.79</v>
      </c>
      <c r="F87">
        <v>24.8</v>
      </c>
    </row>
    <row r="88" spans="2:6" x14ac:dyDescent="0.2">
      <c r="B88">
        <v>7.68</v>
      </c>
      <c r="C88">
        <v>27</v>
      </c>
      <c r="E88">
        <v>7.78</v>
      </c>
      <c r="F88">
        <v>24.8</v>
      </c>
    </row>
    <row r="89" spans="2:6" x14ac:dyDescent="0.2">
      <c r="B89">
        <v>7.75</v>
      </c>
      <c r="C89">
        <v>27</v>
      </c>
      <c r="E89">
        <v>7.78</v>
      </c>
      <c r="F89">
        <v>24.7</v>
      </c>
    </row>
    <row r="90" spans="2:6" x14ac:dyDescent="0.2">
      <c r="B90">
        <v>7.68</v>
      </c>
      <c r="C90">
        <v>27</v>
      </c>
      <c r="E90">
        <v>7.79</v>
      </c>
      <c r="F90">
        <v>24.8</v>
      </c>
    </row>
    <row r="91" spans="2:6" x14ac:dyDescent="0.2">
      <c r="B91">
        <v>7.74</v>
      </c>
      <c r="C91">
        <v>27</v>
      </c>
      <c r="E91">
        <v>7.79</v>
      </c>
      <c r="F91">
        <v>24.6</v>
      </c>
    </row>
    <row r="92" spans="2:6" x14ac:dyDescent="0.2">
      <c r="B92">
        <v>7.73</v>
      </c>
      <c r="C92">
        <v>27</v>
      </c>
      <c r="E92">
        <v>7.81</v>
      </c>
      <c r="F92">
        <v>24.6</v>
      </c>
    </row>
    <row r="93" spans="2:6" x14ac:dyDescent="0.2">
      <c r="B93">
        <v>7.85</v>
      </c>
      <c r="C93">
        <v>27</v>
      </c>
      <c r="E93">
        <v>7.82</v>
      </c>
      <c r="F93">
        <v>24.8</v>
      </c>
    </row>
    <row r="94" spans="2:6" x14ac:dyDescent="0.2">
      <c r="B94">
        <v>7.78</v>
      </c>
      <c r="C94">
        <v>27</v>
      </c>
      <c r="E94">
        <v>7.87</v>
      </c>
      <c r="F94">
        <v>24.9</v>
      </c>
    </row>
    <row r="95" spans="2:6" x14ac:dyDescent="0.2">
      <c r="B95">
        <v>7.93</v>
      </c>
      <c r="C95">
        <v>27</v>
      </c>
      <c r="E95">
        <v>8.01</v>
      </c>
      <c r="F95">
        <v>24.8</v>
      </c>
    </row>
    <row r="96" spans="2:6" x14ac:dyDescent="0.2">
      <c r="B96">
        <v>7.91</v>
      </c>
      <c r="C96">
        <v>27</v>
      </c>
      <c r="E96">
        <v>8.0299999999999994</v>
      </c>
      <c r="F96">
        <v>24.9</v>
      </c>
    </row>
    <row r="97" spans="2:3" x14ac:dyDescent="0.2">
      <c r="B97" s="30">
        <v>7.98</v>
      </c>
      <c r="C97">
        <v>27</v>
      </c>
    </row>
    <row r="98" spans="2:3" x14ac:dyDescent="0.2">
      <c r="B98" s="30">
        <v>7.95</v>
      </c>
      <c r="C98">
        <v>27</v>
      </c>
    </row>
    <row r="99" spans="2:3" x14ac:dyDescent="0.2">
      <c r="B99">
        <v>7.74</v>
      </c>
      <c r="C99">
        <v>27</v>
      </c>
    </row>
    <row r="100" spans="2:3" x14ac:dyDescent="0.2">
      <c r="B100">
        <v>7.73</v>
      </c>
      <c r="C100">
        <v>27</v>
      </c>
    </row>
    <row r="101" spans="2:3" x14ac:dyDescent="0.2">
      <c r="B101">
        <v>7.79</v>
      </c>
      <c r="C101">
        <v>27</v>
      </c>
    </row>
    <row r="102" spans="2:3" x14ac:dyDescent="0.2">
      <c r="B102">
        <v>7.77</v>
      </c>
      <c r="C102">
        <v>27</v>
      </c>
    </row>
    <row r="103" spans="2:3" x14ac:dyDescent="0.2">
      <c r="B103">
        <v>7.82</v>
      </c>
      <c r="C103">
        <v>27</v>
      </c>
    </row>
    <row r="104" spans="2:3" x14ac:dyDescent="0.2">
      <c r="B104">
        <v>7.76</v>
      </c>
      <c r="C104">
        <v>27</v>
      </c>
    </row>
    <row r="105" spans="2:3" x14ac:dyDescent="0.2">
      <c r="B105">
        <v>7.89</v>
      </c>
      <c r="C105">
        <v>27</v>
      </c>
    </row>
    <row r="106" spans="2:3" x14ac:dyDescent="0.2">
      <c r="B106">
        <v>7.87</v>
      </c>
      <c r="C106">
        <v>27</v>
      </c>
    </row>
    <row r="107" spans="2:3" x14ac:dyDescent="0.2">
      <c r="B107">
        <v>7.92</v>
      </c>
      <c r="C107">
        <v>27</v>
      </c>
    </row>
    <row r="108" spans="2:3" x14ac:dyDescent="0.2">
      <c r="B108">
        <v>7.87</v>
      </c>
      <c r="C108">
        <v>27</v>
      </c>
    </row>
    <row r="109" spans="2:3" x14ac:dyDescent="0.2">
      <c r="B109">
        <v>8.01</v>
      </c>
      <c r="C109">
        <v>27</v>
      </c>
    </row>
    <row r="110" spans="2:3" x14ac:dyDescent="0.2">
      <c r="B110">
        <v>7.98</v>
      </c>
      <c r="C110">
        <v>27</v>
      </c>
    </row>
    <row r="111" spans="2:3" x14ac:dyDescent="0.2">
      <c r="B111">
        <v>7.76</v>
      </c>
      <c r="C111">
        <v>27.5</v>
      </c>
    </row>
    <row r="112" spans="2:3" x14ac:dyDescent="0.2">
      <c r="B112">
        <v>7.76</v>
      </c>
      <c r="C112">
        <v>27.5</v>
      </c>
    </row>
    <row r="113" spans="1:6" x14ac:dyDescent="0.2">
      <c r="B113">
        <v>7.87</v>
      </c>
      <c r="C113">
        <v>27.5</v>
      </c>
    </row>
    <row r="114" spans="1:6" x14ac:dyDescent="0.2">
      <c r="B114">
        <v>7.82</v>
      </c>
      <c r="C114">
        <v>27.5</v>
      </c>
    </row>
    <row r="115" spans="1:6" x14ac:dyDescent="0.2">
      <c r="B115">
        <v>7.93</v>
      </c>
      <c r="C115">
        <v>27.5</v>
      </c>
    </row>
    <row r="116" spans="1:6" x14ac:dyDescent="0.2">
      <c r="B116">
        <v>7.86</v>
      </c>
      <c r="C116">
        <v>27.5</v>
      </c>
    </row>
    <row r="117" spans="1:6" x14ac:dyDescent="0.2">
      <c r="B117">
        <v>7.94</v>
      </c>
      <c r="C117">
        <v>27.5</v>
      </c>
    </row>
    <row r="118" spans="1:6" x14ac:dyDescent="0.2">
      <c r="B118">
        <v>7.95</v>
      </c>
      <c r="C118">
        <v>27.5</v>
      </c>
    </row>
    <row r="119" spans="1:6" x14ac:dyDescent="0.2">
      <c r="B119">
        <v>8.0399999999999991</v>
      </c>
      <c r="C119">
        <v>27.5</v>
      </c>
    </row>
    <row r="120" spans="1:6" x14ac:dyDescent="0.2">
      <c r="B120">
        <v>8.0399999999999991</v>
      </c>
      <c r="C120">
        <v>27.5</v>
      </c>
    </row>
    <row r="121" spans="1:6" x14ac:dyDescent="0.2">
      <c r="B121">
        <v>8.14</v>
      </c>
      <c r="C121">
        <v>27.5</v>
      </c>
    </row>
    <row r="122" spans="1:6" x14ac:dyDescent="0.2">
      <c r="B122">
        <v>8.11</v>
      </c>
      <c r="C122">
        <v>27.5</v>
      </c>
    </row>
    <row r="124" spans="1:6" x14ac:dyDescent="0.2">
      <c r="A124" t="s">
        <v>884</v>
      </c>
      <c r="B124">
        <f>COUNT(B3:B122)</f>
        <v>120</v>
      </c>
      <c r="C124">
        <f>COUNT(C3:C122)</f>
        <v>120</v>
      </c>
      <c r="E124">
        <f>COUNT(E3:E96)</f>
        <v>94</v>
      </c>
      <c r="F124">
        <f>COUNT(F3:F96)</f>
        <v>94</v>
      </c>
    </row>
    <row r="125" spans="1:6" x14ac:dyDescent="0.2">
      <c r="A125" t="s">
        <v>885</v>
      </c>
      <c r="B125">
        <f>MIN(B3:B122)</f>
        <v>7.48</v>
      </c>
      <c r="C125" s="161">
        <f>MIN(C3:C122)</f>
        <v>23.5</v>
      </c>
      <c r="D125" s="161"/>
      <c r="E125">
        <f>MIN(E3:E96)</f>
        <v>7.62</v>
      </c>
      <c r="F125">
        <f>MIN(F3:F96)</f>
        <v>22.7</v>
      </c>
    </row>
    <row r="126" spans="1:6" x14ac:dyDescent="0.2">
      <c r="A126" t="s">
        <v>886</v>
      </c>
      <c r="B126">
        <f>MAX(B3:B122)</f>
        <v>8.14</v>
      </c>
      <c r="C126" s="161">
        <f>MAX(C3:C122)</f>
        <v>28</v>
      </c>
      <c r="D126" s="161"/>
      <c r="E126">
        <f>MAX(E3:E96)</f>
        <v>8.2200000000000006</v>
      </c>
      <c r="F126">
        <f>MAX(F3:F96)</f>
        <v>26.7</v>
      </c>
    </row>
    <row r="127" spans="1:6" x14ac:dyDescent="0.2">
      <c r="A127" t="s">
        <v>887</v>
      </c>
      <c r="B127" s="30">
        <f>AVERAGE(B3:B122)</f>
        <v>7.7741666666666651</v>
      </c>
      <c r="C127" s="161">
        <f>AVERAGE(C3:C122)</f>
        <v>26.867500000000003</v>
      </c>
      <c r="D127" s="161"/>
      <c r="E127" s="30">
        <f>AVERAGE(E3:E96)</f>
        <v>7.8962765957446788</v>
      </c>
      <c r="F127" s="161">
        <f>AVERAGE(F3:F96)</f>
        <v>25.04361702127661</v>
      </c>
    </row>
    <row r="128" spans="1:6" x14ac:dyDescent="0.2">
      <c r="A128" t="s">
        <v>559</v>
      </c>
      <c r="B128">
        <f>MEDIAN(B3:B122)</f>
        <v>7.77</v>
      </c>
      <c r="C128" s="161">
        <f>MEDIAN(C3:C122)</f>
        <v>27.25</v>
      </c>
      <c r="D128" s="161"/>
      <c r="E128" s="30">
        <f>MEDIAN(E3:E96)</f>
        <v>7.8949999999999996</v>
      </c>
      <c r="F128">
        <f>MEDIAN(F3:F96)</f>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B0B8-BA95-4587-9CBC-2B167A9CC0F3}">
  <dimension ref="A1:AG49"/>
  <sheetViews>
    <sheetView tabSelected="1" workbookViewId="0">
      <selection activeCell="Q40" sqref="Q40"/>
    </sheetView>
  </sheetViews>
  <sheetFormatPr baseColWidth="10" defaultColWidth="8.83203125" defaultRowHeight="15" x14ac:dyDescent="0.2"/>
  <cols>
    <col min="1" max="1" width="8.5" customWidth="1"/>
    <col min="2" max="32" width="6.6640625" customWidth="1"/>
  </cols>
  <sheetData>
    <row r="1" spans="1:4" x14ac:dyDescent="0.2">
      <c r="A1" t="s">
        <v>888</v>
      </c>
    </row>
    <row r="3" spans="1:4" x14ac:dyDescent="0.2">
      <c r="A3" t="s">
        <v>889</v>
      </c>
      <c r="B3" t="s">
        <v>691</v>
      </c>
      <c r="D3" t="s">
        <v>890</v>
      </c>
    </row>
    <row r="4" spans="1:4" x14ac:dyDescent="0.2">
      <c r="A4">
        <v>10</v>
      </c>
      <c r="B4">
        <f>0.09018+(2729.92/(273.15+A4))</f>
        <v>9.7314302207310632</v>
      </c>
      <c r="C4" s="428">
        <v>9.7314302207310632</v>
      </c>
      <c r="D4" s="428">
        <v>9.7314000000000007</v>
      </c>
    </row>
    <row r="5" spans="1:4" x14ac:dyDescent="0.2">
      <c r="A5">
        <v>11</v>
      </c>
      <c r="B5">
        <f t="shared" ref="B5:B24" si="0">0.09018+(2729.92/(273.15+A5))</f>
        <v>9.6975000774238964</v>
      </c>
      <c r="C5" s="428">
        <v>9.6975000774238964</v>
      </c>
      <c r="D5">
        <v>9.6974999999999998</v>
      </c>
    </row>
    <row r="6" spans="1:4" x14ac:dyDescent="0.2">
      <c r="A6">
        <v>12</v>
      </c>
      <c r="B6">
        <f t="shared" si="0"/>
        <v>9.6638079151323879</v>
      </c>
      <c r="C6" s="428">
        <v>9.6638079151323879</v>
      </c>
      <c r="D6" s="428">
        <v>9.6638000000000002</v>
      </c>
    </row>
    <row r="7" spans="1:4" x14ac:dyDescent="0.2">
      <c r="A7">
        <v>13</v>
      </c>
      <c r="B7">
        <f t="shared" si="0"/>
        <v>9.6303512388607384</v>
      </c>
      <c r="C7" s="428">
        <v>9.6303512388607384</v>
      </c>
      <c r="D7" s="428">
        <v>9.6303999999999998</v>
      </c>
    </row>
    <row r="8" spans="1:4" x14ac:dyDescent="0.2">
      <c r="A8">
        <v>14</v>
      </c>
      <c r="B8">
        <f t="shared" si="0"/>
        <v>9.5971275883684495</v>
      </c>
      <c r="C8" s="428">
        <v>9.5971275883684495</v>
      </c>
      <c r="D8" s="428">
        <v>9.5970999999999993</v>
      </c>
    </row>
    <row r="9" spans="1:4" x14ac:dyDescent="0.2">
      <c r="A9">
        <v>15</v>
      </c>
      <c r="B9">
        <f t="shared" si="0"/>
        <v>9.5641345375672397</v>
      </c>
      <c r="C9" s="428">
        <v>9.5641345375672397</v>
      </c>
      <c r="D9" s="428">
        <v>9.5640999999999998</v>
      </c>
    </row>
    <row r="10" spans="1:4" x14ac:dyDescent="0.2">
      <c r="A10">
        <v>16</v>
      </c>
      <c r="B10">
        <f t="shared" si="0"/>
        <v>9.5313696939304862</v>
      </c>
      <c r="C10" s="428">
        <v>9.5313696939304862</v>
      </c>
      <c r="D10" s="428">
        <v>9.5313999999999997</v>
      </c>
    </row>
    <row r="11" spans="1:4" x14ac:dyDescent="0.2">
      <c r="A11">
        <v>17</v>
      </c>
      <c r="B11">
        <f t="shared" si="0"/>
        <v>9.4988306979148724</v>
      </c>
      <c r="C11" s="428">
        <v>9.4988306979148724</v>
      </c>
      <c r="D11" s="428">
        <v>9.4987999999999992</v>
      </c>
    </row>
    <row r="12" spans="1:4" x14ac:dyDescent="0.2">
      <c r="A12">
        <v>18</v>
      </c>
      <c r="B12">
        <f t="shared" si="0"/>
        <v>9.4665152223939568</v>
      </c>
      <c r="C12" s="428">
        <v>9.4665152223939568</v>
      </c>
      <c r="D12" s="428">
        <v>9.4664999999999999</v>
      </c>
    </row>
    <row r="13" spans="1:4" x14ac:dyDescent="0.2">
      <c r="A13">
        <v>19</v>
      </c>
      <c r="B13">
        <f t="shared" si="0"/>
        <v>9.4344209721033732</v>
      </c>
      <c r="C13" s="428">
        <v>9.4344209721033732</v>
      </c>
      <c r="D13" s="428">
        <v>9.4344000000000001</v>
      </c>
    </row>
    <row r="14" spans="1:4" x14ac:dyDescent="0.2">
      <c r="A14">
        <v>20</v>
      </c>
      <c r="B14">
        <f t="shared" si="0"/>
        <v>9.4025456830973919</v>
      </c>
      <c r="C14" s="428">
        <v>9.4025456830973919</v>
      </c>
      <c r="D14" s="428">
        <v>9.4024999999999999</v>
      </c>
    </row>
    <row r="15" spans="1:4" x14ac:dyDescent="0.2">
      <c r="A15">
        <v>21</v>
      </c>
      <c r="B15">
        <f t="shared" si="0"/>
        <v>9.3708871222165566</v>
      </c>
      <c r="C15" s="428">
        <v>9.3708871222165566</v>
      </c>
      <c r="D15" s="428">
        <v>9.3709000000000007</v>
      </c>
    </row>
    <row r="16" spans="1:4" x14ac:dyDescent="0.2">
      <c r="A16">
        <v>22</v>
      </c>
      <c r="B16">
        <f t="shared" si="0"/>
        <v>9.3394430865661544</v>
      </c>
      <c r="C16" s="428">
        <v>9.3394430865661544</v>
      </c>
      <c r="D16" s="428">
        <v>9.3393999999999995</v>
      </c>
    </row>
    <row r="17" spans="1:33" x14ac:dyDescent="0.2">
      <c r="A17">
        <v>23</v>
      </c>
      <c r="B17">
        <f t="shared" si="0"/>
        <v>9.3082114030052345</v>
      </c>
      <c r="C17" s="428">
        <v>9.3082114030052345</v>
      </c>
      <c r="D17" s="428">
        <v>9.3081999999999994</v>
      </c>
    </row>
    <row r="18" spans="1:33" x14ac:dyDescent="0.2">
      <c r="A18">
        <v>24</v>
      </c>
      <c r="B18">
        <f t="shared" si="0"/>
        <v>9.2771899276459706</v>
      </c>
      <c r="C18" s="428">
        <v>9.2771899276459706</v>
      </c>
      <c r="D18" s="428">
        <v>9.2772000000000006</v>
      </c>
    </row>
    <row r="19" spans="1:33" x14ac:dyDescent="0.2">
      <c r="A19">
        <v>25</v>
      </c>
      <c r="B19">
        <f t="shared" si="0"/>
        <v>9.2463765453630735</v>
      </c>
      <c r="C19" s="428">
        <v>9.2463765453630735</v>
      </c>
      <c r="D19" s="428">
        <v>9.2463999999999995</v>
      </c>
    </row>
    <row r="20" spans="1:33" x14ac:dyDescent="0.2">
      <c r="A20">
        <v>26</v>
      </c>
      <c r="B20">
        <f t="shared" si="0"/>
        <v>9.2157691693130541</v>
      </c>
      <c r="C20" s="428">
        <v>9.2157691693130541</v>
      </c>
      <c r="D20" s="428">
        <v>9.2157999999999998</v>
      </c>
    </row>
    <row r="21" spans="1:33" x14ac:dyDescent="0.2">
      <c r="A21">
        <v>27</v>
      </c>
      <c r="B21">
        <f t="shared" si="0"/>
        <v>9.1853657404631033</v>
      </c>
      <c r="C21" s="428">
        <v>9.1853657404631033</v>
      </c>
      <c r="D21" s="428">
        <v>9.1853999999999996</v>
      </c>
    </row>
    <row r="22" spans="1:33" x14ac:dyDescent="0.2">
      <c r="A22">
        <v>28</v>
      </c>
      <c r="B22">
        <f t="shared" si="0"/>
        <v>9.1551642271293385</v>
      </c>
      <c r="C22" s="428">
        <v>9.1551642271293385</v>
      </c>
      <c r="D22" s="428">
        <v>9.1552000000000007</v>
      </c>
    </row>
    <row r="23" spans="1:33" x14ac:dyDescent="0.2">
      <c r="A23">
        <v>29</v>
      </c>
      <c r="B23">
        <f t="shared" si="0"/>
        <v>9.1251626245242434</v>
      </c>
      <c r="C23" s="428">
        <v>9.1251626245242434</v>
      </c>
      <c r="D23" s="428">
        <v>9.1251999999999995</v>
      </c>
    </row>
    <row r="24" spans="1:33" x14ac:dyDescent="0.2">
      <c r="A24">
        <v>30</v>
      </c>
      <c r="B24">
        <f t="shared" si="0"/>
        <v>9.0953589543130473</v>
      </c>
      <c r="C24" s="428">
        <v>9.0953589543130473</v>
      </c>
      <c r="D24" s="428">
        <v>9.0953999999999997</v>
      </c>
    </row>
    <row r="25" spans="1:33" x14ac:dyDescent="0.2">
      <c r="A25" s="454" t="s">
        <v>891</v>
      </c>
      <c r="B25" s="456" t="s">
        <v>16</v>
      </c>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row>
    <row r="26" spans="1:33" ht="14.5" customHeight="1" x14ac:dyDescent="0.2">
      <c r="A26" s="455"/>
      <c r="B26" s="245">
        <v>6.5</v>
      </c>
      <c r="C26" s="245">
        <v>6.6</v>
      </c>
      <c r="D26" s="245">
        <v>6.7</v>
      </c>
      <c r="E26" s="245">
        <v>6.8</v>
      </c>
      <c r="F26" s="245">
        <v>6.9</v>
      </c>
      <c r="G26" s="429">
        <v>7</v>
      </c>
      <c r="H26" s="429">
        <v>7.1</v>
      </c>
      <c r="I26" s="429">
        <v>7.2</v>
      </c>
      <c r="J26" s="429">
        <v>7.3</v>
      </c>
      <c r="K26" s="429">
        <v>7.4</v>
      </c>
      <c r="L26" s="429">
        <v>7.5</v>
      </c>
      <c r="M26" s="429">
        <v>7.6</v>
      </c>
      <c r="N26" s="429">
        <v>7.7</v>
      </c>
      <c r="O26" s="429">
        <v>7.8</v>
      </c>
      <c r="P26" s="429">
        <v>7.9</v>
      </c>
      <c r="Q26" s="429">
        <v>7.9999999999999902</v>
      </c>
      <c r="R26" s="429">
        <v>8.0999999999999908</v>
      </c>
      <c r="S26" s="429">
        <v>8.1999999999999904</v>
      </c>
      <c r="T26" s="429">
        <v>8.2999999999999901</v>
      </c>
      <c r="U26" s="429">
        <v>8.3999999999999897</v>
      </c>
      <c r="V26" s="429">
        <v>8.4999999999999893</v>
      </c>
      <c r="W26" s="429">
        <v>8.5999999999999908</v>
      </c>
      <c r="X26" s="429">
        <v>8.6999999999999904</v>
      </c>
      <c r="Y26" s="429">
        <v>8.7999999999999901</v>
      </c>
      <c r="Z26" s="429">
        <v>8.8999999999999897</v>
      </c>
      <c r="AA26" s="429">
        <v>8.9999999999999893</v>
      </c>
      <c r="AB26" s="429">
        <v>9.0999999999999908</v>
      </c>
      <c r="AC26" s="429">
        <v>9.1999999999999904</v>
      </c>
      <c r="AD26" s="429">
        <v>9.2999999999999901</v>
      </c>
      <c r="AE26" s="429">
        <v>9.3999999999999897</v>
      </c>
      <c r="AF26" s="429">
        <v>9.4999999999999893</v>
      </c>
      <c r="AG26" s="161"/>
    </row>
    <row r="27" spans="1:33" ht="20" customHeight="1" x14ac:dyDescent="0.2">
      <c r="A27" s="51">
        <v>10</v>
      </c>
      <c r="B27" s="428">
        <f>1/(POWER(10,D4-$B$26)+1)*100</f>
        <v>5.8660419749168732E-2</v>
      </c>
      <c r="C27" s="428">
        <f t="shared" ref="C27:V27" si="1">1/(POWER(10,$D$4-C26)+1)*100</f>
        <v>7.3837878094636197E-2</v>
      </c>
      <c r="D27" s="428">
        <f t="shared" si="1"/>
        <v>9.2938612614864288E-2</v>
      </c>
      <c r="E27" s="174">
        <f t="shared" si="1"/>
        <v>0.11697463218510516</v>
      </c>
      <c r="F27" s="174">
        <f t="shared" si="1"/>
        <v>0.14721774811613048</v>
      </c>
      <c r="G27" s="174">
        <f t="shared" si="1"/>
        <v>0.18526554387968791</v>
      </c>
      <c r="H27" s="174">
        <f t="shared" si="1"/>
        <v>0.23312367179432941</v>
      </c>
      <c r="I27" s="174">
        <f t="shared" si="1"/>
        <v>0.29330826882335453</v>
      </c>
      <c r="J27" s="174">
        <f t="shared" si="1"/>
        <v>0.36897301668532251</v>
      </c>
      <c r="K27" s="174">
        <f t="shared" si="1"/>
        <v>0.46406615445493432</v>
      </c>
      <c r="L27" s="174">
        <f t="shared" si="1"/>
        <v>0.58352352136895591</v>
      </c>
      <c r="M27" s="174">
        <f t="shared" si="1"/>
        <v>0.73350434455261559</v>
      </c>
      <c r="N27" s="174">
        <f t="shared" si="1"/>
        <v>0.9216767836093247</v>
      </c>
      <c r="O27" s="30">
        <f t="shared" si="1"/>
        <v>1.1575598593607648</v>
      </c>
      <c r="P27" s="30">
        <f t="shared" si="1"/>
        <v>1.4529267862923045</v>
      </c>
      <c r="Q27" s="30">
        <f t="shared" si="1"/>
        <v>1.8222710750337279</v>
      </c>
      <c r="R27" s="30">
        <f t="shared" si="1"/>
        <v>2.2833298759297502</v>
      </c>
      <c r="S27" s="30">
        <f t="shared" si="1"/>
        <v>2.85764724720479</v>
      </c>
      <c r="T27" s="30">
        <f t="shared" si="1"/>
        <v>3.5711412388223578</v>
      </c>
      <c r="U27" s="30">
        <f t="shared" si="1"/>
        <v>4.4546104882503084</v>
      </c>
      <c r="V27" s="30">
        <f t="shared" si="1"/>
        <v>5.5440763098916666</v>
      </c>
      <c r="W27" s="30">
        <f t="shared" ref="W27:AF27" si="2">1/(POWER(10,$B$4-W26)+1)*100</f>
        <v>6.8803586021296672</v>
      </c>
      <c r="X27" s="30">
        <f t="shared" si="2"/>
        <v>8.5102482409282594</v>
      </c>
      <c r="Y27" s="161">
        <f t="shared" si="2"/>
        <v>10.482777716876807</v>
      </c>
      <c r="Z27" s="161">
        <f t="shared" si="2"/>
        <v>12.848299321251028</v>
      </c>
      <c r="AA27" s="161">
        <f t="shared" si="2"/>
        <v>15.65427183877002</v>
      </c>
      <c r="AB27" s="161">
        <f t="shared" si="2"/>
        <v>18.939872878226961</v>
      </c>
      <c r="AC27" s="161">
        <f t="shared" si="2"/>
        <v>22.729241967039592</v>
      </c>
      <c r="AD27" s="161">
        <f t="shared" si="2"/>
        <v>27.024009169915097</v>
      </c>
      <c r="AE27" s="161">
        <f t="shared" si="2"/>
        <v>31.796356365606389</v>
      </c>
      <c r="AF27" s="161">
        <f t="shared" si="2"/>
        <v>36.984361227025268</v>
      </c>
    </row>
    <row r="28" spans="1:33" ht="20" customHeight="1" x14ac:dyDescent="0.2">
      <c r="A28" s="51">
        <v>11</v>
      </c>
      <c r="B28" s="428">
        <f>1/(POWER(10,$D$5-B26)+1)*100</f>
        <v>6.3419743934907305E-2</v>
      </c>
      <c r="C28" s="428">
        <f t="shared" ref="C28:AF28" si="3">1/(POWER(10,$D$5-C26)+1)*100</f>
        <v>7.9827618769175573E-2</v>
      </c>
      <c r="D28" s="174">
        <f t="shared" si="3"/>
        <v>0.10047624999445798</v>
      </c>
      <c r="E28" s="174">
        <f t="shared" si="3"/>
        <v>0.12645920495716279</v>
      </c>
      <c r="F28" s="174">
        <f t="shared" si="3"/>
        <v>0.15915059519798547</v>
      </c>
      <c r="G28" s="174">
        <f t="shared" si="3"/>
        <v>0.20027619851386058</v>
      </c>
      <c r="H28" s="174">
        <f t="shared" si="3"/>
        <v>0.25200211596448946</v>
      </c>
      <c r="I28" s="174">
        <f t="shared" si="3"/>
        <v>0.3170449965407382</v>
      </c>
      <c r="J28" s="174">
        <f t="shared" si="3"/>
        <v>0.39880861682062313</v>
      </c>
      <c r="K28" s="174">
        <f t="shared" si="3"/>
        <v>0.50155239070647228</v>
      </c>
      <c r="L28" s="174">
        <f t="shared" si="3"/>
        <v>0.63059812589874342</v>
      </c>
      <c r="M28" s="174">
        <f t="shared" si="3"/>
        <v>0.79258189441380056</v>
      </c>
      <c r="N28" s="174">
        <f t="shared" si="3"/>
        <v>0.9957579972922872</v>
      </c>
      <c r="O28" s="30">
        <f t="shared" si="3"/>
        <v>1.2503612771994799</v>
      </c>
      <c r="P28" s="30">
        <f t="shared" si="3"/>
        <v>1.5690318403647769</v>
      </c>
      <c r="Q28" s="30">
        <f t="shared" si="3"/>
        <v>1.9673016524727076</v>
      </c>
      <c r="R28" s="30">
        <f t="shared" si="3"/>
        <v>2.4641341283519935</v>
      </c>
      <c r="S28" s="30">
        <f t="shared" si="3"/>
        <v>3.0824939304313697</v>
      </c>
      <c r="T28" s="30">
        <f t="shared" si="3"/>
        <v>3.8499024826462844</v>
      </c>
      <c r="U28" s="30">
        <f t="shared" si="3"/>
        <v>4.7989028015068689</v>
      </c>
      <c r="V28" s="30">
        <f t="shared" si="3"/>
        <v>5.9673133628912147</v>
      </c>
      <c r="W28" s="30">
        <f t="shared" si="3"/>
        <v>7.3980952712734789</v>
      </c>
      <c r="X28" s="30">
        <f t="shared" si="3"/>
        <v>9.1385953285084494</v>
      </c>
      <c r="Y28" s="161">
        <f t="shared" si="3"/>
        <v>11.238874014014325</v>
      </c>
      <c r="Z28" s="161">
        <f t="shared" si="3"/>
        <v>13.748809600868611</v>
      </c>
      <c r="AA28" s="161">
        <f t="shared" si="3"/>
        <v>16.71373097396172</v>
      </c>
      <c r="AB28" s="161">
        <f t="shared" si="3"/>
        <v>20.168525584501907</v>
      </c>
      <c r="AC28" s="161">
        <f t="shared" si="3"/>
        <v>24.130537985314035</v>
      </c>
      <c r="AD28" s="161">
        <f t="shared" si="3"/>
        <v>28.592109741464515</v>
      </c>
      <c r="AE28" s="161">
        <f t="shared" si="3"/>
        <v>33.514202144522997</v>
      </c>
      <c r="AF28" s="161">
        <f t="shared" si="3"/>
        <v>38.822949921892999</v>
      </c>
    </row>
    <row r="29" spans="1:33" ht="20" customHeight="1" x14ac:dyDescent="0.2">
      <c r="A29" s="51">
        <v>12</v>
      </c>
      <c r="B29" s="428">
        <f>1/(POWER(10,$D$6-B26)+1)*100</f>
        <v>6.8533397338062241E-2</v>
      </c>
      <c r="C29" s="428">
        <f t="shared" ref="C29:AF29" si="4">1/(POWER(10,$D$6-C26)+1)*100</f>
        <v>8.6263128040512518E-2</v>
      </c>
      <c r="D29" s="174">
        <f t="shared" si="4"/>
        <v>0.10857459307835086</v>
      </c>
      <c r="E29" s="174">
        <f t="shared" si="4"/>
        <v>0.13664889857763529</v>
      </c>
      <c r="F29" s="174">
        <f t="shared" si="4"/>
        <v>0.17196992473384434</v>
      </c>
      <c r="G29" s="174">
        <f t="shared" si="4"/>
        <v>0.21640095063041326</v>
      </c>
      <c r="H29" s="174">
        <f t="shared" si="4"/>
        <v>0.27228009270602993</v>
      </c>
      <c r="I29" s="174">
        <f t="shared" si="4"/>
        <v>0.342538837147702</v>
      </c>
      <c r="J29" s="174">
        <f t="shared" si="4"/>
        <v>0.43084871822572141</v>
      </c>
      <c r="K29" s="174">
        <f t="shared" si="4"/>
        <v>0.54180197828645071</v>
      </c>
      <c r="L29" s="174">
        <f t="shared" si="4"/>
        <v>0.68113274270003432</v>
      </c>
      <c r="M29" s="174">
        <f t="shared" si="4"/>
        <v>0.85598568019528765</v>
      </c>
      <c r="N29" s="30">
        <f t="shared" si="4"/>
        <v>1.0752390034301629</v>
      </c>
      <c r="O29" s="30">
        <f t="shared" si="4"/>
        <v>1.3498875278270404</v>
      </c>
      <c r="P29" s="30">
        <f t="shared" si="4"/>
        <v>1.6934886272790717</v>
      </c>
      <c r="Q29" s="30">
        <f t="shared" si="4"/>
        <v>2.1226682380904678</v>
      </c>
      <c r="R29" s="30">
        <f t="shared" si="4"/>
        <v>2.6576740702593113</v>
      </c>
      <c r="S29" s="30">
        <f t="shared" si="4"/>
        <v>3.3229469178926809</v>
      </c>
      <c r="T29" s="30">
        <f t="shared" si="4"/>
        <v>4.1476560749395288</v>
      </c>
      <c r="U29" s="30">
        <f t="shared" si="4"/>
        <v>5.1661090533986371</v>
      </c>
      <c r="V29" s="30">
        <f t="shared" si="4"/>
        <v>6.4178977973812916</v>
      </c>
      <c r="W29" s="30">
        <f t="shared" si="4"/>
        <v>7.9475850893752265</v>
      </c>
      <c r="X29" s="30">
        <f t="shared" si="4"/>
        <v>9.8036737216805321</v>
      </c>
      <c r="Y29" s="161">
        <f t="shared" si="4"/>
        <v>12.036555611458713</v>
      </c>
      <c r="Z29" s="161">
        <f t="shared" si="4"/>
        <v>14.695141345719298</v>
      </c>
      <c r="AA29" s="161">
        <f t="shared" si="4"/>
        <v>17.821970597441272</v>
      </c>
      <c r="AB29" s="161">
        <f t="shared" si="4"/>
        <v>21.446853518874502</v>
      </c>
      <c r="AC29" s="161">
        <f t="shared" si="4"/>
        <v>25.579523337677792</v>
      </c>
      <c r="AD29" s="161">
        <f t="shared" si="4"/>
        <v>30.202353137321904</v>
      </c>
      <c r="AE29" s="161">
        <f t="shared" si="4"/>
        <v>35.264751059634122</v>
      </c>
      <c r="AF29" s="161">
        <f t="shared" si="4"/>
        <v>40.681122303446813</v>
      </c>
    </row>
    <row r="30" spans="1:33" ht="20" customHeight="1" x14ac:dyDescent="0.2">
      <c r="A30" s="51">
        <v>13</v>
      </c>
      <c r="B30" s="428">
        <f>1/(POWER(10,$D$7-B26)+1)*100</f>
        <v>7.4007966010974952E-2</v>
      </c>
      <c r="C30" s="428">
        <f t="shared" ref="C30:AF30" si="5">1/(POWER(10,$D$7-C26)+1)*100</f>
        <v>9.3152658668072097E-2</v>
      </c>
      <c r="D30" s="174">
        <f t="shared" si="5"/>
        <v>0.11724397040786977</v>
      </c>
      <c r="E30" s="174">
        <f t="shared" si="5"/>
        <v>0.1475566193090414</v>
      </c>
      <c r="F30" s="174">
        <f t="shared" si="5"/>
        <v>0.18569183201108383</v>
      </c>
      <c r="G30" s="174">
        <f t="shared" si="5"/>
        <v>0.23365982165852534</v>
      </c>
      <c r="H30" s="174">
        <f t="shared" si="5"/>
        <v>0.29398242646458561</v>
      </c>
      <c r="I30" s="174">
        <f t="shared" si="5"/>
        <v>0.36982044174897699</v>
      </c>
      <c r="J30" s="174">
        <f t="shared" si="5"/>
        <v>0.4651309615330344</v>
      </c>
      <c r="K30" s="174">
        <f t="shared" si="5"/>
        <v>0.58486081469228446</v>
      </c>
      <c r="L30" s="174">
        <f t="shared" si="5"/>
        <v>0.73518281547598563</v>
      </c>
      <c r="M30" s="174">
        <f t="shared" si="5"/>
        <v>0.92378184057760304</v>
      </c>
      <c r="N30" s="30">
        <f t="shared" si="5"/>
        <v>1.160197351127439</v>
      </c>
      <c r="O30" s="30">
        <f t="shared" si="5"/>
        <v>1.4562273544078548</v>
      </c>
      <c r="P30" s="30">
        <f t="shared" si="5"/>
        <v>1.8263951210701517</v>
      </c>
      <c r="Q30" s="30">
        <f t="shared" si="5"/>
        <v>2.2884730384030774</v>
      </c>
      <c r="R30" s="30">
        <f t="shared" si="5"/>
        <v>2.8640461337736034</v>
      </c>
      <c r="S30" s="30">
        <f t="shared" si="5"/>
        <v>3.579078927971957</v>
      </c>
      <c r="T30" s="30">
        <f t="shared" si="5"/>
        <v>4.4644209773603363</v>
      </c>
      <c r="U30" s="30">
        <f t="shared" si="5"/>
        <v>5.5561466270657212</v>
      </c>
      <c r="V30" s="30">
        <f t="shared" si="5"/>
        <v>6.8955725734608562</v>
      </c>
      <c r="W30" s="30">
        <f t="shared" si="5"/>
        <v>8.5287361626627778</v>
      </c>
      <c r="X30" s="161">
        <f t="shared" si="5"/>
        <v>10.505058787220722</v>
      </c>
      <c r="Y30" s="161">
        <f t="shared" si="5"/>
        <v>12.874885149515686</v>
      </c>
      <c r="Z30" s="161">
        <f t="shared" si="5"/>
        <v>15.685618819276756</v>
      </c>
      <c r="AA30" s="161">
        <f t="shared" si="5"/>
        <v>18.976318907180783</v>
      </c>
      <c r="AB30" s="161">
        <f t="shared" si="5"/>
        <v>22.770931490845797</v>
      </c>
      <c r="AC30" s="161">
        <f t="shared" si="5"/>
        <v>27.070816332757992</v>
      </c>
      <c r="AD30" s="161">
        <f t="shared" si="5"/>
        <v>31.847822112569681</v>
      </c>
      <c r="AE30" s="161">
        <f t="shared" si="5"/>
        <v>37.039663928365826</v>
      </c>
      <c r="AF30" s="161">
        <f t="shared" si="5"/>
        <v>42.549463510651556</v>
      </c>
    </row>
    <row r="31" spans="1:33" ht="20" customHeight="1" x14ac:dyDescent="0.2">
      <c r="A31" s="51">
        <v>14</v>
      </c>
      <c r="B31" s="428">
        <f>1/(POWER(10,$D$8-B26)+1)*100</f>
        <v>7.9901117819076939E-2</v>
      </c>
      <c r="C31" s="174">
        <f t="shared" ref="C31:AF31" si="6">1/(POWER(10,$D$8-C26)+1)*100</f>
        <v>0.10056874155966308</v>
      </c>
      <c r="D31" s="174">
        <f t="shared" si="6"/>
        <v>0.1265755843490349</v>
      </c>
      <c r="E31" s="174">
        <f t="shared" si="6"/>
        <v>0.15929701222786355</v>
      </c>
      <c r="F31" s="174">
        <f t="shared" si="6"/>
        <v>0.20046037474119602</v>
      </c>
      <c r="G31" s="174">
        <f t="shared" si="6"/>
        <v>0.2522337397001555</v>
      </c>
      <c r="H31" s="174">
        <f t="shared" si="6"/>
        <v>0.31733621321247935</v>
      </c>
      <c r="I31" s="174">
        <f t="shared" si="6"/>
        <v>0.39917463542942433</v>
      </c>
      <c r="J31" s="174">
        <f t="shared" si="6"/>
        <v>0.50201223023162111</v>
      </c>
      <c r="K31" s="174">
        <f t="shared" si="6"/>
        <v>0.63117552821704381</v>
      </c>
      <c r="L31" s="174">
        <f t="shared" si="6"/>
        <v>0.79330643182990501</v>
      </c>
      <c r="M31" s="174">
        <f t="shared" si="6"/>
        <v>0.99666640187540434</v>
      </c>
      <c r="N31" s="30">
        <f t="shared" si="6"/>
        <v>1.2514990137819964</v>
      </c>
      <c r="O31" s="30">
        <f t="shared" si="6"/>
        <v>1.570454932210074</v>
      </c>
      <c r="P31" s="30">
        <f t="shared" si="6"/>
        <v>1.9690787437538568</v>
      </c>
      <c r="Q31" s="30">
        <f t="shared" si="6"/>
        <v>2.4663487244069313</v>
      </c>
      <c r="R31" s="30">
        <f t="shared" si="6"/>
        <v>3.0852466870793611</v>
      </c>
      <c r="S31" s="30">
        <f t="shared" si="6"/>
        <v>3.8533133100770742</v>
      </c>
      <c r="T31" s="30">
        <f t="shared" si="6"/>
        <v>4.8031123973192784</v>
      </c>
      <c r="U31" s="30">
        <f t="shared" si="6"/>
        <v>5.9724835886265826</v>
      </c>
      <c r="V31" s="30">
        <f t="shared" si="6"/>
        <v>7.4044075465479056</v>
      </c>
      <c r="W31" s="30">
        <f t="shared" si="6"/>
        <v>9.1462459729466818</v>
      </c>
      <c r="X31" s="161">
        <f t="shared" si="6"/>
        <v>11.248065301014014</v>
      </c>
      <c r="Y31" s="161">
        <f t="shared" si="6"/>
        <v>13.75973534117905</v>
      </c>
      <c r="Z31" s="161">
        <f t="shared" si="6"/>
        <v>16.72655592245729</v>
      </c>
      <c r="AA31" s="161">
        <f t="shared" si="6"/>
        <v>20.183359072766461</v>
      </c>
      <c r="AB31" s="161">
        <f t="shared" si="6"/>
        <v>24.14740402619028</v>
      </c>
      <c r="AC31" s="161">
        <f t="shared" si="6"/>
        <v>28.610918221196911</v>
      </c>
      <c r="AD31" s="161">
        <f t="shared" si="6"/>
        <v>33.53472791022363</v>
      </c>
      <c r="AE31" s="161">
        <f t="shared" si="6"/>
        <v>38.844827408330232</v>
      </c>
      <c r="AF31" s="161">
        <f t="shared" si="6"/>
        <v>44.433643195629088</v>
      </c>
    </row>
    <row r="32" spans="1:33" ht="20" customHeight="1" x14ac:dyDescent="0.2">
      <c r="A32" s="51">
        <v>15</v>
      </c>
      <c r="B32" s="428">
        <f>1/(POWER(10,$D$9-B26)+1)*100</f>
        <v>8.6203611508753455E-2</v>
      </c>
      <c r="C32" s="174">
        <f t="shared" ref="C32:AF32" si="7">1/(POWER(10,$D$9-C26)+1)*100</f>
        <v>0.10849969965225555</v>
      </c>
      <c r="D32" s="174">
        <f t="shared" si="7"/>
        <v>0.13655466631202501</v>
      </c>
      <c r="E32" s="174">
        <f t="shared" si="7"/>
        <v>0.17185137721462607</v>
      </c>
      <c r="F32" s="174">
        <f t="shared" si="7"/>
        <v>0.21625184091904509</v>
      </c>
      <c r="G32" s="174">
        <f t="shared" si="7"/>
        <v>0.27209258481541559</v>
      </c>
      <c r="H32" s="174">
        <f t="shared" si="7"/>
        <v>0.34230311107679878</v>
      </c>
      <c r="I32" s="174">
        <f t="shared" si="7"/>
        <v>0.43055248221224385</v>
      </c>
      <c r="J32" s="174">
        <f t="shared" si="7"/>
        <v>0.54142986965008721</v>
      </c>
      <c r="K32" s="174">
        <f t="shared" si="7"/>
        <v>0.68066559683371175</v>
      </c>
      <c r="L32" s="174">
        <f t="shared" si="7"/>
        <v>0.85539964659376233</v>
      </c>
      <c r="M32" s="30">
        <f t="shared" si="7"/>
        <v>1.07450448923047</v>
      </c>
      <c r="N32" s="30">
        <f t="shared" si="7"/>
        <v>1.3489679549148397</v>
      </c>
      <c r="O32" s="30">
        <f t="shared" si="7"/>
        <v>1.6923390012196351</v>
      </c>
      <c r="P32" s="30">
        <f t="shared" si="7"/>
        <v>2.1212335497762016</v>
      </c>
      <c r="Q32" s="30">
        <f t="shared" si="7"/>
        <v>2.655887589427314</v>
      </c>
      <c r="R32" s="30">
        <f t="shared" si="7"/>
        <v>3.3207284981322354</v>
      </c>
      <c r="S32" s="30">
        <f t="shared" si="7"/>
        <v>4.1449106797673787</v>
      </c>
      <c r="T32" s="30">
        <f t="shared" si="7"/>
        <v>5.1627258385006893</v>
      </c>
      <c r="U32" s="30">
        <f t="shared" si="7"/>
        <v>6.4137502458254199</v>
      </c>
      <c r="V32" s="30">
        <f t="shared" si="7"/>
        <v>7.9425328821006875</v>
      </c>
      <c r="W32" s="30">
        <f t="shared" si="7"/>
        <v>9.7975671979120698</v>
      </c>
      <c r="X32" s="161">
        <f t="shared" si="7"/>
        <v>12.029243757573754</v>
      </c>
      <c r="Y32" s="161">
        <f t="shared" si="7"/>
        <v>14.686484123609993</v>
      </c>
      <c r="Z32" s="161">
        <f t="shared" si="7"/>
        <v>17.811855924405066</v>
      </c>
      <c r="AA32" s="161">
        <f t="shared" si="7"/>
        <v>21.435218195810371</v>
      </c>
      <c r="AB32" s="161">
        <f t="shared" si="7"/>
        <v>25.566375674621909</v>
      </c>
      <c r="AC32" s="161">
        <f t="shared" si="7"/>
        <v>30.187793213603207</v>
      </c>
      <c r="AD32" s="161">
        <f t="shared" si="7"/>
        <v>35.248983141098634</v>
      </c>
      <c r="AE32" s="161">
        <f t="shared" si="7"/>
        <v>40.6644538686039</v>
      </c>
      <c r="AF32" s="161">
        <f t="shared" si="7"/>
        <v>46.316791364483919</v>
      </c>
    </row>
    <row r="33" spans="1:32" ht="20" customHeight="1" x14ac:dyDescent="0.2">
      <c r="A33" s="51">
        <v>16</v>
      </c>
      <c r="B33" s="428">
        <f>1/(POWER(10,$D$10-B26)+1)*100</f>
        <v>9.2938612614864538E-2</v>
      </c>
      <c r="C33" s="174">
        <f t="shared" ref="C33:AF33" si="8">1/(POWER(10,$D$10-C26)+1)*100</f>
        <v>0.11697463218510537</v>
      </c>
      <c r="D33" s="174">
        <f t="shared" si="8"/>
        <v>0.14721774811613075</v>
      </c>
      <c r="E33" s="174">
        <f t="shared" si="8"/>
        <v>0.18526554387968841</v>
      </c>
      <c r="F33" s="174">
        <f t="shared" si="8"/>
        <v>0.23312367179433047</v>
      </c>
      <c r="G33" s="174">
        <f t="shared" si="8"/>
        <v>0.29330826882335503</v>
      </c>
      <c r="H33" s="174">
        <f t="shared" si="8"/>
        <v>0.36897301668532323</v>
      </c>
      <c r="I33" s="174">
        <f t="shared" si="8"/>
        <v>0.46406615445493515</v>
      </c>
      <c r="J33" s="174">
        <f t="shared" si="8"/>
        <v>0.58352352136895702</v>
      </c>
      <c r="K33" s="174">
        <f t="shared" si="8"/>
        <v>0.73350434455261881</v>
      </c>
      <c r="L33" s="174">
        <f t="shared" si="8"/>
        <v>0.92167678360932714</v>
      </c>
      <c r="M33" s="30">
        <f t="shared" si="8"/>
        <v>1.157559859360767</v>
      </c>
      <c r="N33" s="30">
        <f t="shared" si="8"/>
        <v>1.4529267862923074</v>
      </c>
      <c r="O33" s="30">
        <f t="shared" si="8"/>
        <v>1.8222710750337716</v>
      </c>
      <c r="P33" s="30">
        <f t="shared" si="8"/>
        <v>2.2833298759298049</v>
      </c>
      <c r="Q33" s="30">
        <f t="shared" si="8"/>
        <v>2.8576472472047958</v>
      </c>
      <c r="R33" s="30">
        <f t="shared" si="8"/>
        <v>3.5711412388223729</v>
      </c>
      <c r="S33" s="30">
        <f t="shared" si="8"/>
        <v>4.454610488250327</v>
      </c>
      <c r="T33" s="30">
        <f t="shared" si="8"/>
        <v>5.544076309891687</v>
      </c>
      <c r="U33" s="30">
        <f t="shared" si="8"/>
        <v>6.8808044493412286</v>
      </c>
      <c r="V33" s="30">
        <f t="shared" si="8"/>
        <v>8.5107900519943858</v>
      </c>
      <c r="W33" s="161">
        <f t="shared" si="8"/>
        <v>10.483430720470864</v>
      </c>
      <c r="X33" s="161">
        <f t="shared" si="8"/>
        <v>12.849078529235792</v>
      </c>
      <c r="Y33" s="161">
        <f t="shared" si="8"/>
        <v>15.655190651486507</v>
      </c>
      <c r="Z33" s="161">
        <f t="shared" si="8"/>
        <v>18.940941230261743</v>
      </c>
      <c r="AA33" s="161">
        <f t="shared" si="8"/>
        <v>22.730464129727608</v>
      </c>
      <c r="AB33" s="161">
        <f t="shared" si="8"/>
        <v>27.025381496188583</v>
      </c>
      <c r="AC33" s="161">
        <f t="shared" si="8"/>
        <v>31.797865441522987</v>
      </c>
      <c r="AD33" s="161">
        <f t="shared" si="8"/>
        <v>36.985983003712413</v>
      </c>
      <c r="AE33" s="161">
        <f t="shared" si="8"/>
        <v>42.493186739108936</v>
      </c>
      <c r="AF33" s="161">
        <f t="shared" si="8"/>
        <v>48.193257689451293</v>
      </c>
    </row>
    <row r="34" spans="1:32" ht="20" customHeight="1" x14ac:dyDescent="0.2">
      <c r="A34" s="51">
        <v>17</v>
      </c>
      <c r="B34" s="174">
        <f>1/(POWER(10,$D$11-B26)+1)*100</f>
        <v>0.10017623888083892</v>
      </c>
      <c r="C34" s="174">
        <f t="shared" ref="C34:AF34" si="9">1/(POWER(10,$D$11-C26)+1)*100</f>
        <v>0.12608170949198141</v>
      </c>
      <c r="D34" s="174">
        <f t="shared" si="9"/>
        <v>0.15867566716672485</v>
      </c>
      <c r="E34" s="174">
        <f t="shared" si="9"/>
        <v>0.19967879127378435</v>
      </c>
      <c r="F34" s="174">
        <f t="shared" si="9"/>
        <v>0.25125080305865549</v>
      </c>
      <c r="G34" s="174">
        <f t="shared" si="9"/>
        <v>0.31610038091345138</v>
      </c>
      <c r="H34" s="174">
        <f t="shared" si="9"/>
        <v>0.39762136335354498</v>
      </c>
      <c r="I34" s="174">
        <f t="shared" si="9"/>
        <v>0.50006080462084113</v>
      </c>
      <c r="J34" s="174">
        <f t="shared" si="9"/>
        <v>0.62872519074919075</v>
      </c>
      <c r="K34" s="174">
        <f t="shared" si="9"/>
        <v>0.79023167837481179</v>
      </c>
      <c r="L34" s="174">
        <f t="shared" si="9"/>
        <v>0.9928113392785437</v>
      </c>
      <c r="M34" s="30">
        <f t="shared" si="9"/>
        <v>1.2466706815564392</v>
      </c>
      <c r="N34" s="30">
        <f t="shared" si="9"/>
        <v>1.5644155503610895</v>
      </c>
      <c r="O34" s="30">
        <f t="shared" si="9"/>
        <v>1.9615369532304514</v>
      </c>
      <c r="P34" s="30">
        <f t="shared" si="9"/>
        <v>2.456950069561838</v>
      </c>
      <c r="Q34" s="30">
        <f t="shared" si="9"/>
        <v>3.0735638848070046</v>
      </c>
      <c r="R34" s="30">
        <f t="shared" si="9"/>
        <v>3.8388372986992594</v>
      </c>
      <c r="S34" s="30">
        <f t="shared" si="9"/>
        <v>4.7852457984241443</v>
      </c>
      <c r="T34" s="30">
        <f t="shared" si="9"/>
        <v>5.9505390647241487</v>
      </c>
      <c r="U34" s="30">
        <f t="shared" si="9"/>
        <v>7.3776145576606984</v>
      </c>
      <c r="V34" s="30">
        <f t="shared" si="9"/>
        <v>9.1137704725954887</v>
      </c>
      <c r="W34" s="161">
        <f t="shared" si="9"/>
        <v>11.209047622087763</v>
      </c>
      <c r="X34" s="161">
        <f t="shared" si="9"/>
        <v>13.713351301485794</v>
      </c>
      <c r="Y34" s="161">
        <f t="shared" si="9"/>
        <v>16.672104174014763</v>
      </c>
      <c r="Z34" s="161">
        <f t="shared" si="9"/>
        <v>20.12037302443769</v>
      </c>
      <c r="AA34" s="161">
        <f t="shared" si="9"/>
        <v>24.075778853598237</v>
      </c>
      <c r="AB34" s="161">
        <f t="shared" si="9"/>
        <v>28.53103341502845</v>
      </c>
      <c r="AC34" s="161">
        <f t="shared" si="9"/>
        <v>33.447536478232436</v>
      </c>
      <c r="AD34" s="161">
        <f t="shared" si="9"/>
        <v>38.75187923662866</v>
      </c>
      <c r="AE34" s="161">
        <f t="shared" si="9"/>
        <v>44.337017355163297</v>
      </c>
      <c r="AF34" s="161">
        <f t="shared" si="9"/>
        <v>50.069077508840223</v>
      </c>
    </row>
    <row r="35" spans="1:32" ht="20" customHeight="1" x14ac:dyDescent="0.2">
      <c r="A35" s="51">
        <v>18</v>
      </c>
      <c r="B35" s="174">
        <f>1/(POWER(10,$D$12-B26)+1)*100</f>
        <v>0.10790240702804915</v>
      </c>
      <c r="C35" s="174">
        <f t="shared" ref="C35:AF35" si="10">1/(POWER(10,$D$12-C26)+1)*100</f>
        <v>0.13580314060304025</v>
      </c>
      <c r="D35" s="174">
        <f t="shared" si="10"/>
        <v>0.17090592925279446</v>
      </c>
      <c r="E35" s="174">
        <f t="shared" si="10"/>
        <v>0.21506264808024453</v>
      </c>
      <c r="F35" s="174">
        <f t="shared" si="10"/>
        <v>0.27059715027300113</v>
      </c>
      <c r="G35" s="174">
        <f t="shared" si="10"/>
        <v>0.34042311315861729</v>
      </c>
      <c r="H35" s="174">
        <f t="shared" si="10"/>
        <v>0.4281898833927088</v>
      </c>
      <c r="I35" s="174">
        <f t="shared" si="10"/>
        <v>0.53846213638782014</v>
      </c>
      <c r="J35" s="174">
        <f t="shared" si="10"/>
        <v>0.67693986686533303</v>
      </c>
      <c r="K35" s="174">
        <f t="shared" si="10"/>
        <v>0.85072567477563565</v>
      </c>
      <c r="L35" s="30">
        <f t="shared" si="10"/>
        <v>1.0686462153794147</v>
      </c>
      <c r="M35" s="30">
        <f t="shared" si="10"/>
        <v>1.3416335811827222</v>
      </c>
      <c r="N35" s="30">
        <f t="shared" si="10"/>
        <v>1.6831695632807189</v>
      </c>
      <c r="O35" s="30">
        <f t="shared" si="10"/>
        <v>2.1097901457941171</v>
      </c>
      <c r="P35" s="30">
        <f t="shared" si="10"/>
        <v>2.6416377348506335</v>
      </c>
      <c r="Q35" s="30">
        <f t="shared" si="10"/>
        <v>3.3030325553053812</v>
      </c>
      <c r="R35" s="30">
        <f t="shared" si="10"/>
        <v>4.1230100274670782</v>
      </c>
      <c r="S35" s="30">
        <f t="shared" si="10"/>
        <v>5.1357354466316529</v>
      </c>
      <c r="T35" s="30">
        <f t="shared" si="10"/>
        <v>6.3806596105953419</v>
      </c>
      <c r="U35" s="30">
        <f t="shared" si="10"/>
        <v>7.9022207598246546</v>
      </c>
      <c r="V35" s="30">
        <f t="shared" si="10"/>
        <v>9.748836958946308</v>
      </c>
      <c r="W35" s="161">
        <f t="shared" si="10"/>
        <v>11.970886868132641</v>
      </c>
      <c r="X35" s="161">
        <f t="shared" si="10"/>
        <v>14.617378274250708</v>
      </c>
      <c r="Y35" s="161">
        <f t="shared" si="10"/>
        <v>17.731100380771384</v>
      </c>
      <c r="Z35" s="161">
        <f t="shared" si="10"/>
        <v>21.342300885431545</v>
      </c>
      <c r="AA35" s="161">
        <f t="shared" si="10"/>
        <v>25.461354191385961</v>
      </c>
      <c r="AB35" s="161">
        <f t="shared" si="10"/>
        <v>30.071457428155636</v>
      </c>
      <c r="AC35" s="161">
        <f t="shared" si="10"/>
        <v>35.122955696040151</v>
      </c>
      <c r="AD35" s="161">
        <f t="shared" si="10"/>
        <v>40.53118407705</v>
      </c>
      <c r="AE35" s="161">
        <f t="shared" si="10"/>
        <v>46.179414256770826</v>
      </c>
      <c r="AF35" s="161">
        <f t="shared" si="10"/>
        <v>51.927459402664191</v>
      </c>
    </row>
    <row r="36" spans="1:32" ht="20" customHeight="1" x14ac:dyDescent="0.2">
      <c r="A36" s="51">
        <v>19</v>
      </c>
      <c r="B36" s="174">
        <f>1/(POWER(10,$D$13-B26)+1)*100</f>
        <v>0.11617031993999796</v>
      </c>
      <c r="C36" s="174">
        <f t="shared" ref="C36:AF36" si="11">1/(POWER(10,$D$13-C26)+1)*100</f>
        <v>0.14620578997425784</v>
      </c>
      <c r="D36" s="174">
        <f t="shared" si="11"/>
        <v>0.1839925314117212</v>
      </c>
      <c r="E36" s="174">
        <f t="shared" si="11"/>
        <v>0.23152257522799238</v>
      </c>
      <c r="F36" s="174">
        <f t="shared" si="11"/>
        <v>0.29129503049902294</v>
      </c>
      <c r="G36" s="174">
        <f t="shared" si="11"/>
        <v>0.36644233191179004</v>
      </c>
      <c r="H36" s="174">
        <f t="shared" si="11"/>
        <v>0.46088626903212171</v>
      </c>
      <c r="I36" s="174">
        <f t="shared" si="11"/>
        <v>0.57952985311351701</v>
      </c>
      <c r="J36" s="174">
        <f t="shared" si="11"/>
        <v>0.72849172068375312</v>
      </c>
      <c r="K36" s="174">
        <f t="shared" si="11"/>
        <v>0.91539008473132399</v>
      </c>
      <c r="L36" s="30">
        <f t="shared" si="11"/>
        <v>1.1496828868088684</v>
      </c>
      <c r="M36" s="30">
        <f t="shared" si="11"/>
        <v>1.4430692426675207</v>
      </c>
      <c r="N36" s="30">
        <f t="shared" si="11"/>
        <v>1.8099536974887063</v>
      </c>
      <c r="O36" s="30">
        <f t="shared" si="11"/>
        <v>2.2679680303764478</v>
      </c>
      <c r="P36" s="30">
        <f t="shared" si="11"/>
        <v>2.8385337355928493</v>
      </c>
      <c r="Q36" s="30">
        <f t="shared" si="11"/>
        <v>3.5474297600953859</v>
      </c>
      <c r="R36" s="30">
        <f t="shared" si="11"/>
        <v>4.4253021985543057</v>
      </c>
      <c r="S36" s="30">
        <f t="shared" si="11"/>
        <v>5.5080132987191881</v>
      </c>
      <c r="T36" s="30">
        <f t="shared" si="11"/>
        <v>6.8366756613696689</v>
      </c>
      <c r="U36" s="30">
        <f t="shared" si="11"/>
        <v>8.4571570532708602</v>
      </c>
      <c r="V36" s="161">
        <f t="shared" si="11"/>
        <v>10.418782258345722</v>
      </c>
      <c r="W36" s="161">
        <f t="shared" si="11"/>
        <v>12.771923171773983</v>
      </c>
      <c r="X36" s="161">
        <f t="shared" si="11"/>
        <v>15.564194543299637</v>
      </c>
      <c r="Y36" s="161">
        <f t="shared" si="11"/>
        <v>18.835111531568565</v>
      </c>
      <c r="Z36" s="161">
        <f t="shared" si="11"/>
        <v>22.60936681571572</v>
      </c>
      <c r="AA36" s="161">
        <f t="shared" si="11"/>
        <v>26.889365435209118</v>
      </c>
      <c r="AB36" s="161">
        <f t="shared" si="11"/>
        <v>31.648246894791242</v>
      </c>
      <c r="AC36" s="161">
        <f t="shared" si="11"/>
        <v>36.825133655865969</v>
      </c>
      <c r="AD36" s="161">
        <f t="shared" si="11"/>
        <v>42.324473689748245</v>
      </c>
      <c r="AE36" s="161">
        <f t="shared" si="11"/>
        <v>48.020811506482843</v>
      </c>
      <c r="AF36" s="161">
        <f t="shared" si="11"/>
        <v>53.769076013716003</v>
      </c>
    </row>
    <row r="37" spans="1:32" ht="20" customHeight="1" x14ac:dyDescent="0.2">
      <c r="A37" s="51">
        <v>20</v>
      </c>
      <c r="B37" s="174">
        <f>1/(POWER(10,$D$14-B26)+1)*100</f>
        <v>0.12501344806111514</v>
      </c>
      <c r="C37" s="174">
        <f t="shared" ref="C37:AF37" si="12">1/(POWER(10,$D$14-C26)+1)*100</f>
        <v>0.15733167963936498</v>
      </c>
      <c r="D37" s="174">
        <f t="shared" si="12"/>
        <v>0.19798819479088481</v>
      </c>
      <c r="E37" s="174">
        <f t="shared" si="12"/>
        <v>0.24912465795720717</v>
      </c>
      <c r="F37" s="174">
        <f t="shared" si="12"/>
        <v>0.31342718732538266</v>
      </c>
      <c r="G37" s="174">
        <f t="shared" si="12"/>
        <v>0.39426149086174134</v>
      </c>
      <c r="H37" s="174">
        <f t="shared" si="12"/>
        <v>0.49583963522336477</v>
      </c>
      <c r="I37" s="174">
        <f t="shared" si="12"/>
        <v>0.62342473011443844</v>
      </c>
      <c r="J37" s="174">
        <f t="shared" si="12"/>
        <v>0.78358037568273253</v>
      </c>
      <c r="K37" s="174">
        <f t="shared" si="12"/>
        <v>0.98447186327709235</v>
      </c>
      <c r="L37" s="30">
        <f t="shared" si="12"/>
        <v>1.2362254480850112</v>
      </c>
      <c r="M37" s="30">
        <f t="shared" si="12"/>
        <v>1.5513499125235364</v>
      </c>
      <c r="N37" s="30">
        <f t="shared" si="12"/>
        <v>1.9452201908438131</v>
      </c>
      <c r="O37" s="30">
        <f t="shared" si="12"/>
        <v>2.4366147070793551</v>
      </c>
      <c r="P37" s="30">
        <f t="shared" si="12"/>
        <v>3.0482845018708238</v>
      </c>
      <c r="Q37" s="30">
        <f t="shared" si="12"/>
        <v>3.8075109632224047</v>
      </c>
      <c r="R37" s="30">
        <f t="shared" si="12"/>
        <v>4.7465776332335796</v>
      </c>
      <c r="S37" s="30">
        <f t="shared" si="12"/>
        <v>5.9030382960527827</v>
      </c>
      <c r="T37" s="30">
        <f t="shared" si="12"/>
        <v>7.3196086072204878</v>
      </c>
      <c r="U37" s="30">
        <f t="shared" si="12"/>
        <v>9.0434469192564002</v>
      </c>
      <c r="V37" s="161">
        <f t="shared" si="12"/>
        <v>11.124535438231923</v>
      </c>
      <c r="W37" s="161">
        <f t="shared" si="12"/>
        <v>13.612852365813968</v>
      </c>
      <c r="X37" s="161">
        <f t="shared" si="12"/>
        <v>16.554081829101388</v>
      </c>
      <c r="Y37" s="161">
        <f t="shared" si="12"/>
        <v>19.983794408486055</v>
      </c>
      <c r="Z37" s="161">
        <f t="shared" si="12"/>
        <v>23.920390901085344</v>
      </c>
      <c r="AA37" s="161">
        <f t="shared" si="12"/>
        <v>28.357630589705629</v>
      </c>
      <c r="AB37" s="161">
        <f t="shared" si="12"/>
        <v>33.258157812677233</v>
      </c>
      <c r="AC37" s="161">
        <f t="shared" si="12"/>
        <v>38.549863899143702</v>
      </c>
      <c r="AD37" s="161">
        <f t="shared" si="12"/>
        <v>44.126863067523345</v>
      </c>
      <c r="AE37" s="161">
        <f t="shared" si="12"/>
        <v>49.856088829084136</v>
      </c>
      <c r="AF37" s="161">
        <f t="shared" si="12"/>
        <v>55.589096111684711</v>
      </c>
    </row>
    <row r="38" spans="1:32" ht="20" customHeight="1" x14ac:dyDescent="0.2">
      <c r="A38" s="51">
        <v>21</v>
      </c>
      <c r="B38" s="174">
        <f>1/(POWER(10,$D$15-B26)+1)*100</f>
        <v>0.1344360547313766</v>
      </c>
      <c r="C38" s="174">
        <f t="shared" ref="C38:AF38" si="13">1/(POWER(10,$D$15-C26)+1)*100</f>
        <v>0.16918607373313668</v>
      </c>
      <c r="D38" s="174">
        <f t="shared" si="13"/>
        <v>0.21289938361869912</v>
      </c>
      <c r="E38" s="174">
        <f t="shared" si="13"/>
        <v>0.26787677695733297</v>
      </c>
      <c r="F38" s="174">
        <f t="shared" si="13"/>
        <v>0.33700313601284215</v>
      </c>
      <c r="G38" s="174">
        <f t="shared" si="13"/>
        <v>0.42389192929670072</v>
      </c>
      <c r="H38" s="174">
        <f t="shared" si="13"/>
        <v>0.53306325065321525</v>
      </c>
      <c r="I38" s="174">
        <f t="shared" si="13"/>
        <v>0.67016189062832132</v>
      </c>
      <c r="J38" s="174">
        <f t="shared" si="13"/>
        <v>0.842222393462291</v>
      </c>
      <c r="K38" s="30">
        <f t="shared" si="13"/>
        <v>1.0579879896900777</v>
      </c>
      <c r="L38" s="30">
        <f t="shared" si="13"/>
        <v>1.3282892503415447</v>
      </c>
      <c r="M38" s="30">
        <f t="shared" si="13"/>
        <v>1.6664855835777124</v>
      </c>
      <c r="N38" s="30">
        <f t="shared" si="13"/>
        <v>2.0889672505826096</v>
      </c>
      <c r="O38" s="30">
        <f t="shared" si="13"/>
        <v>2.6157059504213027</v>
      </c>
      <c r="P38" s="30">
        <f t="shared" si="13"/>
        <v>3.2708262760150943</v>
      </c>
      <c r="Q38" s="30">
        <f t="shared" si="13"/>
        <v>4.083146150044084</v>
      </c>
      <c r="R38" s="30">
        <f t="shared" si="13"/>
        <v>5.0865993785757695</v>
      </c>
      <c r="S38" s="30">
        <f t="shared" si="13"/>
        <v>6.3204063161120354</v>
      </c>
      <c r="T38" s="30">
        <f t="shared" si="13"/>
        <v>7.828800719435157</v>
      </c>
      <c r="U38" s="30">
        <f t="shared" si="13"/>
        <v>9.6600594754736768</v>
      </c>
      <c r="V38" s="161">
        <f t="shared" si="13"/>
        <v>11.864534478666435</v>
      </c>
      <c r="W38" s="161">
        <f t="shared" si="13"/>
        <v>14.491384355473599</v>
      </c>
      <c r="X38" s="161">
        <f t="shared" si="13"/>
        <v>17.583795029620592</v>
      </c>
      <c r="Y38" s="161">
        <f t="shared" si="13"/>
        <v>21.172715654943346</v>
      </c>
      <c r="Z38" s="161">
        <f t="shared" si="13"/>
        <v>25.26955388533143</v>
      </c>
      <c r="AA38" s="161">
        <f t="shared" si="13"/>
        <v>29.858840597645663</v>
      </c>
      <c r="AB38" s="161">
        <f t="shared" si="13"/>
        <v>34.892444156875818</v>
      </c>
      <c r="AC38" s="161">
        <f t="shared" si="13"/>
        <v>40.287219479822689</v>
      </c>
      <c r="AD38" s="161">
        <f t="shared" si="13"/>
        <v>45.92770834344573</v>
      </c>
      <c r="AE38" s="161">
        <f t="shared" si="13"/>
        <v>51.674504200188032</v>
      </c>
      <c r="AF38" s="161">
        <f t="shared" si="13"/>
        <v>57.377347835102931</v>
      </c>
    </row>
    <row r="39" spans="1:32" ht="20" customHeight="1" x14ac:dyDescent="0.2">
      <c r="A39" s="51">
        <v>22</v>
      </c>
      <c r="B39" s="174">
        <f>1/(POWER(10,$D$16-B26)+1)*100</f>
        <v>0.14453460507251381</v>
      </c>
      <c r="C39" s="174">
        <f t="shared" ref="C39:AF39" si="14">1/(POWER(10,$D$16-C26)+1)*100</f>
        <v>0.18189021719270126</v>
      </c>
      <c r="D39" s="174">
        <f t="shared" si="14"/>
        <v>0.22887842399948624</v>
      </c>
      <c r="E39" s="174">
        <f t="shared" si="14"/>
        <v>0.28797020601326401</v>
      </c>
      <c r="F39" s="174">
        <f t="shared" si="14"/>
        <v>0.3622628968153439</v>
      </c>
      <c r="G39" s="174">
        <f t="shared" si="14"/>
        <v>0.45563458554836606</v>
      </c>
      <c r="H39" s="174">
        <f t="shared" si="14"/>
        <v>0.5729340371735131</v>
      </c>
      <c r="I39" s="174">
        <f t="shared" si="14"/>
        <v>0.72021280328504189</v>
      </c>
      <c r="J39" s="174">
        <f t="shared" si="14"/>
        <v>0.90500653113583518</v>
      </c>
      <c r="K39" s="30">
        <f t="shared" si="14"/>
        <v>1.1366721652230702</v>
      </c>
      <c r="L39" s="30">
        <f t="shared" si="14"/>
        <v>1.4267862518559973</v>
      </c>
      <c r="M39" s="30">
        <f t="shared" si="14"/>
        <v>1.7896061060286688</v>
      </c>
      <c r="N39" s="30">
        <f t="shared" si="14"/>
        <v>2.242589018376453</v>
      </c>
      <c r="O39" s="30">
        <f t="shared" si="14"/>
        <v>2.8069533558780777</v>
      </c>
      <c r="P39" s="30">
        <f t="shared" si="14"/>
        <v>3.5082472646385185</v>
      </c>
      <c r="Q39" s="30">
        <f t="shared" si="14"/>
        <v>4.3768633277335312</v>
      </c>
      <c r="R39" s="30">
        <f t="shared" si="14"/>
        <v>5.4483987913268663</v>
      </c>
      <c r="S39" s="30">
        <f t="shared" si="14"/>
        <v>6.7637100791464277</v>
      </c>
      <c r="T39" s="30">
        <f t="shared" si="14"/>
        <v>8.3684501293305811</v>
      </c>
      <c r="U39" s="161">
        <f t="shared" si="14"/>
        <v>10.311817607929322</v>
      </c>
      <c r="V39" s="161">
        <f t="shared" si="14"/>
        <v>12.644209884029339</v>
      </c>
      <c r="W39" s="161">
        <f t="shared" si="14"/>
        <v>15.413493648855969</v>
      </c>
      <c r="X39" s="161">
        <f t="shared" si="14"/>
        <v>18.659738887437566</v>
      </c>
      <c r="Y39" s="161">
        <f t="shared" si="14"/>
        <v>22.408554504715397</v>
      </c>
      <c r="Z39" s="161">
        <f t="shared" si="14"/>
        <v>26.663636091793069</v>
      </c>
      <c r="AA39" s="161">
        <f t="shared" si="14"/>
        <v>31.399725602996615</v>
      </c>
      <c r="AB39" s="161">
        <f t="shared" si="14"/>
        <v>36.557702917985274</v>
      </c>
      <c r="AC39" s="161">
        <f t="shared" si="14"/>
        <v>42.04368447260272</v>
      </c>
      <c r="AD39" s="161">
        <f t="shared" si="14"/>
        <v>47.733507991823693</v>
      </c>
      <c r="AE39" s="161">
        <f t="shared" si="14"/>
        <v>53.482767319942205</v>
      </c>
      <c r="AF39" s="161">
        <f t="shared" si="14"/>
        <v>59.140948237407173</v>
      </c>
    </row>
    <row r="40" spans="1:32" ht="20" customHeight="1" x14ac:dyDescent="0.2">
      <c r="A40" s="51">
        <v>23</v>
      </c>
      <c r="B40" s="174">
        <f>1/(POWER(10,$D$17-B26)+1)*100</f>
        <v>0.15528342036900375</v>
      </c>
      <c r="C40" s="174">
        <f t="shared" ref="C40:AF40" si="15">1/(POWER(10,$D$17-C26)+1)*100</f>
        <v>0.19541167510542182</v>
      </c>
      <c r="D40" s="174">
        <f t="shared" si="15"/>
        <v>0.24588431334633651</v>
      </c>
      <c r="E40" s="174">
        <f t="shared" si="15"/>
        <v>0.3093530586520119</v>
      </c>
      <c r="F40" s="174">
        <f t="shared" si="15"/>
        <v>0.38914072748952616</v>
      </c>
      <c r="G40" s="174">
        <f t="shared" si="15"/>
        <v>0.48940603279937378</v>
      </c>
      <c r="H40" s="174">
        <f t="shared" si="15"/>
        <v>0.61534592711858782</v>
      </c>
      <c r="I40" s="174">
        <f t="shared" si="15"/>
        <v>0.77344230913599177</v>
      </c>
      <c r="J40" s="174">
        <f t="shared" si="15"/>
        <v>0.97176009317397927</v>
      </c>
      <c r="K40" s="30">
        <f t="shared" si="15"/>
        <v>1.2203030297368802</v>
      </c>
      <c r="L40" s="30">
        <f t="shared" si="15"/>
        <v>1.5314316684121179</v>
      </c>
      <c r="M40" s="30">
        <f t="shared" si="15"/>
        <v>1.9203435711920094</v>
      </c>
      <c r="N40" s="30">
        <f t="shared" si="15"/>
        <v>2.4056080186374849</v>
      </c>
      <c r="O40" s="30">
        <f t="shared" si="15"/>
        <v>3.0097342421029381</v>
      </c>
      <c r="P40" s="30">
        <f t="shared" si="15"/>
        <v>3.7597314577772387</v>
      </c>
      <c r="Q40" s="30">
        <f t="shared" si="15"/>
        <v>4.687588269921509</v>
      </c>
      <c r="R40" s="30">
        <f t="shared" si="15"/>
        <v>5.8305564465841107</v>
      </c>
      <c r="S40" s="30">
        <f t="shared" si="15"/>
        <v>7.2310697179444343</v>
      </c>
      <c r="T40" s="30">
        <f t="shared" si="15"/>
        <v>8.9360667560292821</v>
      </c>
      <c r="U40" s="161">
        <f t="shared" si="15"/>
        <v>10.995431990008006</v>
      </c>
      <c r="V40" s="161">
        <f t="shared" si="15"/>
        <v>13.459244491828926</v>
      </c>
      <c r="W40" s="161">
        <f t="shared" si="15"/>
        <v>16.373575560983291</v>
      </c>
      <c r="X40" s="161">
        <f t="shared" si="15"/>
        <v>19.774752828911975</v>
      </c>
      <c r="Y40" s="161">
        <f t="shared" si="15"/>
        <v>23.682358061735545</v>
      </c>
      <c r="Z40" s="161">
        <f t="shared" si="15"/>
        <v>28.091746504465043</v>
      </c>
      <c r="AA40" s="161">
        <f t="shared" si="15"/>
        <v>32.967469570798698</v>
      </c>
      <c r="AB40" s="161">
        <f t="shared" si="15"/>
        <v>38.239423773945525</v>
      </c>
      <c r="AC40" s="161">
        <f t="shared" si="15"/>
        <v>43.803525784130301</v>
      </c>
      <c r="AD40" s="161">
        <f t="shared" si="15"/>
        <v>49.52798407864411</v>
      </c>
      <c r="AE40" s="161">
        <f t="shared" si="15"/>
        <v>55.26484443850461</v>
      </c>
      <c r="AF40" s="161">
        <f t="shared" si="15"/>
        <v>60.864874500402799</v>
      </c>
    </row>
    <row r="41" spans="1:32" ht="20" customHeight="1" x14ac:dyDescent="0.2">
      <c r="A41" s="51">
        <v>24</v>
      </c>
      <c r="B41" s="174">
        <f>1/(POWER(10,$D$18-B26)+1)*100</f>
        <v>0.16675359051977789</v>
      </c>
      <c r="C41" s="174">
        <f t="shared" ref="C41:AF41" si="16">1/(POWER(10,$D$18-C26)+1)*100</f>
        <v>0.209839730653953</v>
      </c>
      <c r="D41" s="174">
        <f t="shared" si="16"/>
        <v>0.26402911481131192</v>
      </c>
      <c r="E41" s="174">
        <f t="shared" si="16"/>
        <v>0.33216588071407871</v>
      </c>
      <c r="F41" s="174">
        <f t="shared" si="16"/>
        <v>0.41781272336790332</v>
      </c>
      <c r="G41" s="174">
        <f t="shared" si="16"/>
        <v>0.5254266360338542</v>
      </c>
      <c r="H41" s="174">
        <f t="shared" si="16"/>
        <v>0.66057425724728169</v>
      </c>
      <c r="I41" s="174">
        <f t="shared" si="16"/>
        <v>0.83019375988869082</v>
      </c>
      <c r="J41" s="30">
        <f t="shared" si="16"/>
        <v>1.0429101994068357</v>
      </c>
      <c r="K41" s="30">
        <f t="shared" si="16"/>
        <v>1.3094102737432272</v>
      </c>
      <c r="L41" s="30">
        <f t="shared" si="16"/>
        <v>1.6428798548842685</v>
      </c>
      <c r="M41" s="30">
        <f t="shared" si="16"/>
        <v>2.0595024176062804</v>
      </c>
      <c r="N41" s="30">
        <f t="shared" si="16"/>
        <v>2.5790071796665761</v>
      </c>
      <c r="O41" s="30">
        <f t="shared" si="16"/>
        <v>3.2252404713883798</v>
      </c>
      <c r="P41" s="30">
        <f t="shared" si="16"/>
        <v>4.0267102633578027</v>
      </c>
      <c r="Q41" s="30">
        <f t="shared" si="16"/>
        <v>5.0170195470226924</v>
      </c>
      <c r="R41" s="30">
        <f t="shared" si="16"/>
        <v>6.2350578865646806</v>
      </c>
      <c r="S41" s="30">
        <f t="shared" si="16"/>
        <v>7.7247630887275278</v>
      </c>
      <c r="T41" s="30">
        <f t="shared" si="16"/>
        <v>9.5342033788373755</v>
      </c>
      <c r="U41" s="161">
        <f t="shared" si="16"/>
        <v>11.713681407394251</v>
      </c>
      <c r="V41" s="161">
        <f t="shared" si="16"/>
        <v>14.312555700011179</v>
      </c>
      <c r="W41" s="161">
        <f t="shared" si="16"/>
        <v>17.374559010276744</v>
      </c>
      <c r="X41" s="161">
        <f t="shared" si="16"/>
        <v>20.931619961919477</v>
      </c>
      <c r="Y41" s="161">
        <f t="shared" si="16"/>
        <v>24.996600447071479</v>
      </c>
      <c r="Z41" s="161">
        <f t="shared" si="16"/>
        <v>29.555920922596396</v>
      </c>
      <c r="AA41" s="161">
        <f t="shared" si="16"/>
        <v>34.563622291509674</v>
      </c>
      <c r="AB41" s="161">
        <f t="shared" si="16"/>
        <v>39.938744382758173</v>
      </c>
      <c r="AC41" s="161">
        <f t="shared" si="16"/>
        <v>45.567675848353623</v>
      </c>
      <c r="AD41" s="161">
        <f t="shared" si="16"/>
        <v>51.312172139479664</v>
      </c>
      <c r="AE41" s="161">
        <f t="shared" si="16"/>
        <v>57.022211935636321</v>
      </c>
      <c r="AF41" s="161">
        <f t="shared" si="16"/>
        <v>62.551321903424054</v>
      </c>
    </row>
    <row r="42" spans="1:32" ht="20" customHeight="1" x14ac:dyDescent="0.2">
      <c r="A42" s="51">
        <v>25</v>
      </c>
      <c r="B42" s="174">
        <f>1/(POWER(10,$D$19-B26)+1)*100</f>
        <v>0.17898719909461186</v>
      </c>
      <c r="C42" s="174">
        <f t="shared" ref="C42:AF42" si="17">1/(POWER(10,$D$19-C26)+1)*100</f>
        <v>0.22522715330136264</v>
      </c>
      <c r="D42" s="174">
        <f t="shared" si="17"/>
        <v>0.2833789285327008</v>
      </c>
      <c r="E42" s="174">
        <f t="shared" si="17"/>
        <v>0.35649136230409428</v>
      </c>
      <c r="F42" s="174">
        <f t="shared" si="17"/>
        <v>0.44838215740652293</v>
      </c>
      <c r="G42" s="174">
        <f t="shared" si="17"/>
        <v>0.56382510510684603</v>
      </c>
      <c r="H42" s="174">
        <f t="shared" si="17"/>
        <v>0.70877901572756119</v>
      </c>
      <c r="I42" s="174">
        <f t="shared" si="17"/>
        <v>0.89066535717959772</v>
      </c>
      <c r="J42" s="30">
        <f t="shared" si="17"/>
        <v>1.1187013484379991</v>
      </c>
      <c r="K42" s="30">
        <f t="shared" si="17"/>
        <v>1.4042938752067076</v>
      </c>
      <c r="L42" s="30">
        <f t="shared" si="17"/>
        <v>1.761496314703535</v>
      </c>
      <c r="M42" s="30">
        <f t="shared" si="17"/>
        <v>2.2075240410095467</v>
      </c>
      <c r="N42" s="30">
        <f t="shared" si="17"/>
        <v>2.7633134528352086</v>
      </c>
      <c r="O42" s="30">
        <f t="shared" si="17"/>
        <v>3.4540917736682895</v>
      </c>
      <c r="P42" s="30">
        <f t="shared" si="17"/>
        <v>4.3098982416055955</v>
      </c>
      <c r="Q42" s="30">
        <f t="shared" si="17"/>
        <v>5.3659594142993647</v>
      </c>
      <c r="R42" s="30">
        <f t="shared" si="17"/>
        <v>6.6627712376875312</v>
      </c>
      <c r="S42" s="30">
        <f t="shared" si="17"/>
        <v>8.2456807728307933</v>
      </c>
      <c r="T42" s="161">
        <f t="shared" si="17"/>
        <v>10.163700403221434</v>
      </c>
      <c r="U42" s="161">
        <f t="shared" si="17"/>
        <v>12.467247601761278</v>
      </c>
      <c r="V42" s="161">
        <f t="shared" si="17"/>
        <v>15.204519664938582</v>
      </c>
      <c r="W42" s="161">
        <f t="shared" si="17"/>
        <v>18.416335172452104</v>
      </c>
      <c r="X42" s="161">
        <f t="shared" si="17"/>
        <v>22.129554035029848</v>
      </c>
      <c r="Y42" s="161">
        <f t="shared" si="17"/>
        <v>26.349648397488739</v>
      </c>
      <c r="Z42" s="161">
        <f t="shared" si="17"/>
        <v>31.053582255706903</v>
      </c>
      <c r="AA42" s="161">
        <f t="shared" si="17"/>
        <v>36.184691434102831</v>
      </c>
      <c r="AB42" s="161">
        <f t="shared" si="17"/>
        <v>41.651446812274692</v>
      </c>
      <c r="AC42" s="161">
        <f t="shared" si="17"/>
        <v>47.331539132618836</v>
      </c>
      <c r="AD42" s="161">
        <f t="shared" si="17"/>
        <v>53.081553462487221</v>
      </c>
      <c r="AE42" s="161">
        <f t="shared" si="17"/>
        <v>58.750897396974736</v>
      </c>
      <c r="AF42" s="161">
        <f t="shared" si="17"/>
        <v>64.197247949671365</v>
      </c>
    </row>
    <row r="43" spans="1:32" ht="20" customHeight="1" x14ac:dyDescent="0.2">
      <c r="A43" s="51">
        <v>26</v>
      </c>
      <c r="B43" s="174">
        <f>1/(POWER(10,$D$20-B26)+1)*100</f>
        <v>0.19202829680128614</v>
      </c>
      <c r="C43" s="174">
        <f t="shared" ref="C43:AF43" si="18">1/(POWER(10,$D$20-C26)+1)*100</f>
        <v>0.24162916217688987</v>
      </c>
      <c r="D43" s="174">
        <f t="shared" si="18"/>
        <v>0.30400289633479288</v>
      </c>
      <c r="E43" s="174">
        <f t="shared" si="18"/>
        <v>0.38241595627180724</v>
      </c>
      <c r="F43" s="174">
        <f t="shared" si="18"/>
        <v>0.48095693509274484</v>
      </c>
      <c r="G43" s="174">
        <f t="shared" si="18"/>
        <v>0.60473581812432586</v>
      </c>
      <c r="H43" s="174">
        <f t="shared" si="18"/>
        <v>0.76012707071207664</v>
      </c>
      <c r="I43" s="174">
        <f t="shared" si="18"/>
        <v>0.9550635655534403</v>
      </c>
      <c r="J43" s="30">
        <f t="shared" si="18"/>
        <v>1.1993878236821689</v>
      </c>
      <c r="K43" s="30">
        <f t="shared" si="18"/>
        <v>1.505265178920058</v>
      </c>
      <c r="L43" s="30">
        <f t="shared" si="18"/>
        <v>1.8876594061495187</v>
      </c>
      <c r="M43" s="30">
        <f t="shared" si="18"/>
        <v>2.3648638161388513</v>
      </c>
      <c r="N43" s="30">
        <f t="shared" si="18"/>
        <v>2.959068089089766</v>
      </c>
      <c r="O43" s="30">
        <f t="shared" si="18"/>
        <v>3.6969210198809526</v>
      </c>
      <c r="P43" s="30">
        <f t="shared" si="18"/>
        <v>4.6100194755369568</v>
      </c>
      <c r="Q43" s="30">
        <f t="shared" si="18"/>
        <v>5.7352122374360999</v>
      </c>
      <c r="R43" s="30">
        <f t="shared" si="18"/>
        <v>7.1145538585664356</v>
      </c>
      <c r="S43" s="30">
        <f t="shared" si="18"/>
        <v>8.7946823905680649</v>
      </c>
      <c r="T43" s="161">
        <f t="shared" si="18"/>
        <v>10.825338148221721</v>
      </c>
      <c r="U43" s="161">
        <f t="shared" si="18"/>
        <v>13.25671355243451</v>
      </c>
      <c r="V43" s="161">
        <f t="shared" si="18"/>
        <v>16.135367090149206</v>
      </c>
      <c r="W43" s="161">
        <f t="shared" si="18"/>
        <v>19.498600112880126</v>
      </c>
      <c r="X43" s="161">
        <f t="shared" si="18"/>
        <v>23.36753061592113</v>
      </c>
      <c r="Y43" s="161">
        <f t="shared" si="18"/>
        <v>27.739607705826113</v>
      </c>
      <c r="Z43" s="161">
        <f t="shared" si="18"/>
        <v>32.58190518471973</v>
      </c>
      <c r="AA43" s="161">
        <f t="shared" si="18"/>
        <v>37.826995895488416</v>
      </c>
      <c r="AB43" s="161">
        <f t="shared" si="18"/>
        <v>43.373231407487324</v>
      </c>
      <c r="AC43" s="161">
        <f t="shared" si="18"/>
        <v>49.090579192580748</v>
      </c>
      <c r="AD43" s="161">
        <f t="shared" si="18"/>
        <v>54.831816014648652</v>
      </c>
      <c r="AE43" s="161">
        <f t="shared" si="18"/>
        <v>60.447257513974591</v>
      </c>
      <c r="AF43" s="161">
        <f t="shared" si="18"/>
        <v>65.800011007999004</v>
      </c>
    </row>
    <row r="44" spans="1:32" ht="20" customHeight="1" x14ac:dyDescent="0.2">
      <c r="A44" s="51">
        <v>27</v>
      </c>
      <c r="B44" s="174">
        <f>1/(POWER(10,$D$21-B26)+1)*100</f>
        <v>0.20592295697026658</v>
      </c>
      <c r="C44" s="174">
        <f t="shared" ref="C44:AF44" si="19">1/(POWER(10,$D$21-C26)+1)*100</f>
        <v>0.25910349282279421</v>
      </c>
      <c r="D44" s="174">
        <f t="shared" si="19"/>
        <v>0.32597328088453265</v>
      </c>
      <c r="E44" s="174">
        <f t="shared" si="19"/>
        <v>0.41002997023520166</v>
      </c>
      <c r="F44" s="174">
        <f t="shared" si="19"/>
        <v>0.51564969838856223</v>
      </c>
      <c r="G44" s="174">
        <f t="shared" si="19"/>
        <v>0.64829893379245251</v>
      </c>
      <c r="H44" s="174">
        <f t="shared" si="19"/>
        <v>0.81479228315864871</v>
      </c>
      <c r="I44" s="30">
        <f t="shared" si="19"/>
        <v>1.0236032105336235</v>
      </c>
      <c r="J44" s="30">
        <f t="shared" si="19"/>
        <v>1.2852337498675139</v>
      </c>
      <c r="K44" s="30">
        <f t="shared" si="19"/>
        <v>1.612646866754291</v>
      </c>
      <c r="L44" s="30">
        <f t="shared" si="19"/>
        <v>2.0217601550554352</v>
      </c>
      <c r="M44" s="30">
        <f t="shared" si="19"/>
        <v>2.5319906424941054</v>
      </c>
      <c r="N44" s="30">
        <f t="shared" si="19"/>
        <v>3.1668257564806574</v>
      </c>
      <c r="O44" s="30">
        <f t="shared" si="19"/>
        <v>3.9543726840957354</v>
      </c>
      <c r="P44" s="30">
        <f t="shared" si="19"/>
        <v>4.9278050757911815</v>
      </c>
      <c r="Q44" s="30">
        <f t="shared" si="19"/>
        <v>6.1255806703538838</v>
      </c>
      <c r="R44" s="30">
        <f t="shared" si="19"/>
        <v>7.5912467939338217</v>
      </c>
      <c r="S44" s="30">
        <f t="shared" si="19"/>
        <v>9.3725890074249207</v>
      </c>
      <c r="T44" s="161">
        <f t="shared" si="19"/>
        <v>11.51982714153073</v>
      </c>
      <c r="U44" s="161">
        <f t="shared" si="19"/>
        <v>14.082552144313738</v>
      </c>
      <c r="V44" s="161">
        <f t="shared" si="19"/>
        <v>17.105171647201338</v>
      </c>
      <c r="W44" s="161">
        <f t="shared" si="19"/>
        <v>20.62084551528827</v>
      </c>
      <c r="X44" s="161">
        <f t="shared" si="19"/>
        <v>24.644283817819826</v>
      </c>
      <c r="Y44" s="161">
        <f t="shared" si="19"/>
        <v>29.164330110466562</v>
      </c>
      <c r="Z44" s="161">
        <f t="shared" si="19"/>
        <v>34.137836430447216</v>
      </c>
      <c r="AA44" s="161">
        <f t="shared" si="19"/>
        <v>39.486699832716752</v>
      </c>
      <c r="AB44" s="161">
        <f t="shared" si="19"/>
        <v>45.099760697292709</v>
      </c>
      <c r="AC44" s="161">
        <f t="shared" si="19"/>
        <v>50.840364415430514</v>
      </c>
      <c r="AD44" s="161">
        <f t="shared" si="19"/>
        <v>56.558892044787179</v>
      </c>
      <c r="AE44" s="161">
        <f t="shared" si="19"/>
        <v>62.107999149267556</v>
      </c>
      <c r="AF44" s="161">
        <f t="shared" si="19"/>
        <v>67.357371052248567</v>
      </c>
    </row>
    <row r="45" spans="1:32" ht="20" customHeight="1" x14ac:dyDescent="0.2">
      <c r="A45" s="51">
        <v>28</v>
      </c>
      <c r="B45" s="174">
        <f>1/(POWER(10,$D$22-B26)+1)*100</f>
        <v>0.22071932976364464</v>
      </c>
      <c r="C45" s="174">
        <f t="shared" ref="C45:AF45" si="20">1/(POWER(10,$D$22-C26)+1)*100</f>
        <v>0.27771046201961791</v>
      </c>
      <c r="D45" s="174">
        <f t="shared" si="20"/>
        <v>0.34936554193780417</v>
      </c>
      <c r="E45" s="174">
        <f t="shared" si="20"/>
        <v>0.43942765417860202</v>
      </c>
      <c r="F45" s="174">
        <f t="shared" si="20"/>
        <v>0.55257792293124763</v>
      </c>
      <c r="G45" s="174">
        <f t="shared" si="20"/>
        <v>0.69466049348811454</v>
      </c>
      <c r="H45" s="174">
        <f t="shared" si="20"/>
        <v>0.87295560400430183</v>
      </c>
      <c r="I45" s="30">
        <f t="shared" si="20"/>
        <v>1.0965075529590902</v>
      </c>
      <c r="J45" s="30">
        <f t="shared" si="20"/>
        <v>1.3765131137494908</v>
      </c>
      <c r="K45" s="30">
        <f t="shared" si="20"/>
        <v>1.7267728744124518</v>
      </c>
      <c r="L45" s="30">
        <f t="shared" si="20"/>
        <v>2.164201988522267</v>
      </c>
      <c r="M45" s="30">
        <f t="shared" si="20"/>
        <v>2.7093863754068312</v>
      </c>
      <c r="N45" s="30">
        <f t="shared" si="20"/>
        <v>3.3871534949043998</v>
      </c>
      <c r="O45" s="30">
        <f t="shared" si="20"/>
        <v>4.2271010816791899</v>
      </c>
      <c r="P45" s="30">
        <f t="shared" si="20"/>
        <v>5.2639903904469838</v>
      </c>
      <c r="Q45" s="30">
        <f t="shared" si="20"/>
        <v>6.5378614682318998</v>
      </c>
      <c r="R45" s="30">
        <f t="shared" si="20"/>
        <v>8.093668820221783</v>
      </c>
      <c r="S45" s="30">
        <f t="shared" si="20"/>
        <v>9.9801751597625898</v>
      </c>
      <c r="T45" s="161">
        <f t="shared" si="20"/>
        <v>12.247798201937446</v>
      </c>
      <c r="U45" s="161">
        <f t="shared" si="20"/>
        <v>14.945115014969968</v>
      </c>
      <c r="V45" s="161">
        <f t="shared" si="20"/>
        <v>18.113839260048891</v>
      </c>
      <c r="W45" s="161">
        <f t="shared" si="20"/>
        <v>21.78235124274109</v>
      </c>
      <c r="X45" s="161">
        <f t="shared" si="20"/>
        <v>25.958305945564845</v>
      </c>
      <c r="Y45" s="161">
        <f t="shared" si="20"/>
        <v>30.621423935256193</v>
      </c>
      <c r="Z45" s="161">
        <f t="shared" si="20"/>
        <v>35.718118822354441</v>
      </c>
      <c r="AA45" s="161">
        <f t="shared" si="20"/>
        <v>41.159849320407709</v>
      </c>
      <c r="AB45" s="161">
        <f t="shared" si="20"/>
        <v>46.82670349754865</v>
      </c>
      <c r="AC45" s="161">
        <f t="shared" si="20"/>
        <v>52.576610873472163</v>
      </c>
      <c r="AD45" s="161">
        <f t="shared" si="20"/>
        <v>58.258990119960039</v>
      </c>
      <c r="AE45" s="161">
        <f t="shared" si="20"/>
        <v>63.730193580662508</v>
      </c>
      <c r="AF45" s="161">
        <f t="shared" si="20"/>
        <v>68.867484156901668</v>
      </c>
    </row>
    <row r="46" spans="1:32" ht="20" customHeight="1" x14ac:dyDescent="0.2">
      <c r="A46" s="51">
        <v>29</v>
      </c>
      <c r="B46" s="174">
        <f>1/(POWER(10,$D$23-B26)+1)*100</f>
        <v>0.23646769481622618</v>
      </c>
      <c r="C46" s="174">
        <f t="shared" ref="C46:AF46" si="21">1/(POWER(10,$D$23-C26)+1)*100</f>
        <v>0.29751303029602361</v>
      </c>
      <c r="D46" s="174">
        <f t="shared" si="21"/>
        <v>0.37425840913974812</v>
      </c>
      <c r="E46" s="174">
        <f t="shared" si="21"/>
        <v>0.47070728289140262</v>
      </c>
      <c r="F46" s="174">
        <f t="shared" si="21"/>
        <v>0.59186400747746659</v>
      </c>
      <c r="G46" s="174">
        <f t="shared" si="21"/>
        <v>0.74397251164418898</v>
      </c>
      <c r="H46" s="174">
        <f t="shared" si="21"/>
        <v>0.93480515373756068</v>
      </c>
      <c r="I46" s="30">
        <f t="shared" si="21"/>
        <v>1.1740083368752894</v>
      </c>
      <c r="J46" s="30">
        <f t="shared" si="21"/>
        <v>1.473509745302451</v>
      </c>
      <c r="K46" s="30">
        <f t="shared" si="21"/>
        <v>1.8479882496257347</v>
      </c>
      <c r="L46" s="30">
        <f t="shared" si="21"/>
        <v>2.3154003829600969</v>
      </c>
      <c r="M46" s="30">
        <f t="shared" si="21"/>
        <v>2.8975451339698184</v>
      </c>
      <c r="N46" s="30">
        <f t="shared" si="21"/>
        <v>3.6206294981518345</v>
      </c>
      <c r="O46" s="30">
        <f t="shared" si="21"/>
        <v>4.5157683734049163</v>
      </c>
      <c r="P46" s="30">
        <f t="shared" si="21"/>
        <v>5.6193119126640951</v>
      </c>
      <c r="Q46" s="30">
        <f t="shared" si="21"/>
        <v>6.9728409377255742</v>
      </c>
      <c r="R46" s="30">
        <f t="shared" si="21"/>
        <v>8.6226101045769088</v>
      </c>
      <c r="S46" s="161">
        <f t="shared" si="21"/>
        <v>10.618160557266632</v>
      </c>
      <c r="T46" s="161">
        <f t="shared" si="21"/>
        <v>13.009792420576849</v>
      </c>
      <c r="U46" s="161">
        <f t="shared" si="21"/>
        <v>15.844621761161765</v>
      </c>
      <c r="V46" s="161">
        <f t="shared" si="21"/>
        <v>19.161098497654113</v>
      </c>
      <c r="W46" s="161">
        <f t="shared" si="21"/>
        <v>22.982179996245236</v>
      </c>
      <c r="X46" s="161">
        <f t="shared" si="21"/>
        <v>27.307850248758612</v>
      </c>
      <c r="Y46" s="161">
        <f t="shared" si="21"/>
        <v>32.108268447746788</v>
      </c>
      <c r="Z46" s="161">
        <f t="shared" si="21"/>
        <v>37.319318788815231</v>
      </c>
      <c r="AA46" s="161">
        <f t="shared" si="21"/>
        <v>42.842410890022734</v>
      </c>
      <c r="AB46" s="161">
        <f t="shared" si="21"/>
        <v>48.549778266644644</v>
      </c>
      <c r="AC46" s="161">
        <f t="shared" si="21"/>
        <v>54.295221463451426</v>
      </c>
      <c r="AD46" s="161">
        <f t="shared" si="21"/>
        <v>59.928621217533987</v>
      </c>
      <c r="AE46" s="161">
        <f t="shared" si="21"/>
        <v>65.3112841472349</v>
      </c>
      <c r="AF46" s="161">
        <f t="shared" si="21"/>
        <v>70.32889147171278</v>
      </c>
    </row>
    <row r="47" spans="1:32" ht="20" customHeight="1" x14ac:dyDescent="0.2">
      <c r="A47" s="224">
        <v>30</v>
      </c>
      <c r="B47" s="430">
        <f>1/(POWER(10,$D$24-B26)+1)*100</f>
        <v>0.25322051199806134</v>
      </c>
      <c r="C47" s="430">
        <f t="shared" ref="C47:AF47" si="22">1/(POWER(10,$D$24-C26)+1)*100</f>
        <v>0.31857686170461902</v>
      </c>
      <c r="D47" s="430">
        <f t="shared" si="22"/>
        <v>0.40073395081042174</v>
      </c>
      <c r="E47" s="430">
        <f t="shared" si="22"/>
        <v>0.50397123246886522</v>
      </c>
      <c r="F47" s="430">
        <f t="shared" si="22"/>
        <v>0.6336353545182446</v>
      </c>
      <c r="G47" s="430">
        <f t="shared" si="22"/>
        <v>0.79639305296568197</v>
      </c>
      <c r="H47" s="431">
        <f t="shared" si="22"/>
        <v>1.0005362823144925</v>
      </c>
      <c r="I47" s="431">
        <f t="shared" si="22"/>
        <v>1.2563458081448864</v>
      </c>
      <c r="J47" s="431">
        <f t="shared" si="22"/>
        <v>1.5765172555169238</v>
      </c>
      <c r="K47" s="431">
        <f t="shared" si="22"/>
        <v>1.9766489465991688</v>
      </c>
      <c r="L47" s="431">
        <f t="shared" si="22"/>
        <v>2.475782419708322</v>
      </c>
      <c r="M47" s="431">
        <f t="shared" si="22"/>
        <v>3.096972477505942</v>
      </c>
      <c r="N47" s="431">
        <f t="shared" si="22"/>
        <v>3.8678417139032555</v>
      </c>
      <c r="O47" s="431">
        <f t="shared" si="22"/>
        <v>4.8210423267987368</v>
      </c>
      <c r="P47" s="431">
        <f t="shared" si="22"/>
        <v>5.994503881870922</v>
      </c>
      <c r="Q47" s="431">
        <f t="shared" si="22"/>
        <v>7.4312900316374293</v>
      </c>
      <c r="R47" s="431">
        <f t="shared" si="22"/>
        <v>9.178825507691613</v>
      </c>
      <c r="S47" s="432">
        <f t="shared" si="22"/>
        <v>11.287201531740617</v>
      </c>
      <c r="T47" s="432">
        <f t="shared" si="22"/>
        <v>13.806251167244401</v>
      </c>
      <c r="U47" s="432">
        <f t="shared" si="22"/>
        <v>16.781149697487702</v>
      </c>
      <c r="V47" s="432">
        <f t="shared" si="22"/>
        <v>20.246492319907873</v>
      </c>
      <c r="W47" s="432">
        <f t="shared" si="22"/>
        <v>24.219174310875825</v>
      </c>
      <c r="X47" s="432">
        <f t="shared" si="22"/>
        <v>28.690936906884616</v>
      </c>
      <c r="Y47" s="432">
        <f t="shared" si="22"/>
        <v>33.622031807055656</v>
      </c>
      <c r="Z47" s="432">
        <f t="shared" si="22"/>
        <v>38.937856788417236</v>
      </c>
      <c r="AA47" s="432">
        <f t="shared" si="22"/>
        <v>44.530311152666854</v>
      </c>
      <c r="AB47" s="432">
        <f t="shared" si="22"/>
        <v>50.26479481012813</v>
      </c>
      <c r="AC47" s="432">
        <f t="shared" si="22"/>
        <v>55.992320650412196</v>
      </c>
      <c r="AD47" s="432">
        <f t="shared" si="22"/>
        <v>61.564618691767983</v>
      </c>
      <c r="AE47" s="432">
        <f t="shared" si="22"/>
        <v>66.849087687969771</v>
      </c>
      <c r="AF47" s="432">
        <f t="shared" si="22"/>
        <v>71.740503470434987</v>
      </c>
    </row>
    <row r="49" spans="1:1" x14ac:dyDescent="0.2">
      <c r="A49" t="s">
        <v>892</v>
      </c>
    </row>
  </sheetData>
  <mergeCells count="2">
    <mergeCell ref="A25:A26"/>
    <mergeCell ref="B25:AF25"/>
  </mergeCells>
  <pageMargins left="0.70866141732283472" right="0.51181102362204722" top="0.74803149606299213" bottom="0.74803149606299213" header="0.31496062992125984" footer="0.31496062992125984"/>
  <pageSetup paperSize="9" scale="6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A4F77836BB3D4E8942C3BA8310D952" ma:contentTypeVersion="14" ma:contentTypeDescription="Create a new document." ma:contentTypeScope="" ma:versionID="d2575a541de4f6f4146f87d786cddbb4">
  <xsd:schema xmlns:xsd="http://www.w3.org/2001/XMLSchema" xmlns:xs="http://www.w3.org/2001/XMLSchema" xmlns:p="http://schemas.microsoft.com/office/2006/metadata/properties" xmlns:ns2="b98728ac-f998-415c-abee-6b046fb1441e" xmlns:ns3="81c01dc6-2c49-4730-b140-874c95cac377" xmlns:ns4="d869c146-c82e-4435-92e4-da91542262fd" targetNamespace="http://schemas.microsoft.com/office/2006/metadata/properties" ma:root="true" ma:fieldsID="4bfd732ecb4d90ac731c1f8eb5d3dcdc" ns2:_="" ns3:_="" ns4:_="">
    <xsd:import namespace="b98728ac-f998-415c-abee-6b046fb1441e"/>
    <xsd:import namespace="81c01dc6-2c49-4730-b140-874c95cac377"/>
    <xsd:import namespace="d869c146-c82e-4435-92e4-da91542262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4:SharedWithUsers" minOccurs="0"/>
                <xsd:element ref="ns4:SharedWithDetails"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6b5be2-cf4e-43ec-8734-a0fb5251e776}" ma:internalName="TaxCatchAll" ma:showField="CatchAllData" ma:web="d869c146-c82e-4435-92e4-da91542262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F8629-6A72-47EC-8B61-FD749DF2D5D0}"/>
</file>

<file path=customXml/itemProps2.xml><?xml version="1.0" encoding="utf-8"?>
<ds:datastoreItem xmlns:ds="http://schemas.openxmlformats.org/officeDocument/2006/customXml" ds:itemID="{F1F16101-3B50-4A2A-A5FC-DD5C4418729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data set pH7 &amp; temp 20C</vt:lpstr>
      <vt:lpstr>invert data pH7 &amp; temp 10-30C</vt:lpstr>
      <vt:lpstr>PCx</vt:lpstr>
      <vt:lpstr>PCx at pH6-9</vt:lpstr>
      <vt:lpstr>AustNZ natural water pH</vt:lpstr>
      <vt:lpstr>References scored</vt:lpstr>
      <vt:lpstr>Calculation of toxicity values</vt:lpstr>
      <vt:lpstr>Ref #247 pH &amp; temp</vt:lpstr>
      <vt:lpstr>Table–% un-ionised</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Merrin (L&amp;W, Lucas Heights)</dc:creator>
  <cp:lastModifiedBy>RvD</cp:lastModifiedBy>
  <cp:lastPrinted>2020-08-19T01:22:33Z</cp:lastPrinted>
  <dcterms:created xsi:type="dcterms:W3CDTF">2019-05-17T04:32:55Z</dcterms:created>
  <dcterms:modified xsi:type="dcterms:W3CDTF">2023-08-14T04:06:11Z</dcterms:modified>
</cp:coreProperties>
</file>